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599"/>
  </bookViews>
  <sheets>
    <sheet name="sheet1" sheetId="8" r:id="rId1"/>
  </sheets>
  <definedNames>
    <definedName name="_xlnm._FilterDatabase" localSheetId="0" hidden="1">sheet1!$A$15:$O$138</definedName>
    <definedName name="_xlnm.Print_Titles" localSheetId="0">sheet1!$1:$4</definedName>
  </definedNames>
  <calcPr calcId="144525"/>
</workbook>
</file>

<file path=xl/comments1.xml><?xml version="1.0" encoding="utf-8"?>
<comments xmlns="http://schemas.openxmlformats.org/spreadsheetml/2006/main">
  <authors>
    <author>Administrator</author>
  </authors>
  <commentList>
    <comment ref="O4" authorId="0">
      <text>
        <r>
          <rPr>
            <b/>
            <sz val="9"/>
            <rFont val="宋体"/>
            <charset val="134"/>
          </rPr>
          <t>Administrator:</t>
        </r>
        <r>
          <rPr>
            <sz val="9"/>
            <rFont val="宋体"/>
            <charset val="134"/>
          </rPr>
          <t xml:space="preserve">
兑付手续费是支付时产生的费用，包括本金与利息支付产生的费用。</t>
        </r>
      </text>
    </comment>
  </commentList>
</comments>
</file>

<file path=xl/sharedStrings.xml><?xml version="1.0" encoding="utf-8"?>
<sst xmlns="http://schemas.openxmlformats.org/spreadsheetml/2006/main" count="346" uniqueCount="193">
  <si>
    <t>密云区政府债券还本付息预计表（2021）</t>
  </si>
  <si>
    <t>单位：元</t>
  </si>
  <si>
    <t>序号</t>
  </si>
  <si>
    <t>资金使用单位</t>
  </si>
  <si>
    <t>债券（项目）名称</t>
  </si>
  <si>
    <t>债券年期</t>
  </si>
  <si>
    <t>付息方式</t>
  </si>
  <si>
    <t>到期日</t>
  </si>
  <si>
    <t>债券金额</t>
  </si>
  <si>
    <t>利率%</t>
  </si>
  <si>
    <t>发行手续费率（‰）</t>
  </si>
  <si>
    <t>登记托管费率（‰）</t>
  </si>
  <si>
    <t>兑付手续费率（‰）</t>
  </si>
  <si>
    <t>2021年</t>
  </si>
  <si>
    <t>合计</t>
  </si>
  <si>
    <t>本金</t>
  </si>
  <si>
    <t>利息</t>
  </si>
  <si>
    <t>兑付手续费</t>
  </si>
  <si>
    <t>汇     总</t>
  </si>
  <si>
    <t>一般债券合计</t>
  </si>
  <si>
    <t>2015年北京市政府置换一般债券四期（1541004）</t>
  </si>
  <si>
    <t>10年期</t>
  </si>
  <si>
    <t>半年一次</t>
  </si>
  <si>
    <t>北京密发鑫达投资管理有限公司</t>
  </si>
  <si>
    <t>云西四路道路建设项目征地拆迁补偿</t>
  </si>
  <si>
    <t>密云新城地表水厂工程项目、密云云西再生水厂工程项目拆迁补偿建设</t>
  </si>
  <si>
    <t>区财政局</t>
  </si>
  <si>
    <t>世界银行贷款节水灌溉项目</t>
  </si>
  <si>
    <t>巨各庄镇</t>
  </si>
  <si>
    <t>北京世纪巨隆工业开发有限公司贷款</t>
  </si>
  <si>
    <t>古北口镇</t>
  </si>
  <si>
    <t>古北水镇安置区配套基础设施建设工程</t>
  </si>
  <si>
    <t>河南寨镇</t>
  </si>
  <si>
    <t>农民就业基地设施建设</t>
  </si>
  <si>
    <t>2015年北京市政府置换一般债券七期（1541026）</t>
  </si>
  <si>
    <t>7年期</t>
  </si>
  <si>
    <t>一年一次</t>
  </si>
  <si>
    <t>1</t>
  </si>
  <si>
    <t>白河治理工程项目拖欠</t>
  </si>
  <si>
    <t>2</t>
  </si>
  <si>
    <t>云北小区公租房项目</t>
  </si>
  <si>
    <t>3</t>
  </si>
  <si>
    <t>区园林绿化局</t>
  </si>
  <si>
    <t>拖欠潮白河林场六路一口一园园林绿化工程</t>
  </si>
  <si>
    <t>4</t>
  </si>
  <si>
    <t>区水务局</t>
  </si>
  <si>
    <t>2010年密云县新农村五项基础设施整体推进村污水治理工程款</t>
  </si>
  <si>
    <t>5</t>
  </si>
  <si>
    <t>拖欠北京华昊水利水电工程有限责任公司六路一口一园绿化配水工程</t>
  </si>
  <si>
    <t>6</t>
  </si>
  <si>
    <t>大城子镇</t>
  </si>
  <si>
    <t>拖欠阳光浴室工程款</t>
  </si>
  <si>
    <t>7</t>
  </si>
  <si>
    <t>北庄镇</t>
  </si>
  <si>
    <t>密云县2011年新农村阳光浴室工程</t>
  </si>
  <si>
    <t>8</t>
  </si>
  <si>
    <t>果园街道</t>
  </si>
  <si>
    <t>拖欠正辰监控系统款</t>
  </si>
  <si>
    <t>9</t>
  </si>
  <si>
    <t>拖欠大通社区用房规范化建设试点款</t>
  </si>
  <si>
    <t>10</t>
  </si>
  <si>
    <t>拖欠恒居社区用房规范化建设试点款</t>
  </si>
  <si>
    <t>11</t>
  </si>
  <si>
    <t>高岭镇</t>
  </si>
  <si>
    <t>北京法政建筑有限公司非项目支出</t>
  </si>
  <si>
    <t>12</t>
  </si>
  <si>
    <t>新城子镇</t>
  </si>
  <si>
    <t>密云县2011阳光浴室</t>
  </si>
  <si>
    <t>13</t>
  </si>
  <si>
    <t>世纪巨隆</t>
  </si>
  <si>
    <t>2015年北京市政府定向承销发行置换债券四期（1541008）</t>
  </si>
  <si>
    <t>密云县“7.24”强降雨灾后恢复重建工程项目</t>
  </si>
  <si>
    <t>密云县县医院</t>
  </si>
  <si>
    <t>北京市密云县医院新建项目</t>
  </si>
  <si>
    <t>2015年北京市政府定向承销发行置换债券八期（1541019）</t>
  </si>
  <si>
    <t>密云县“五项基础设施”项目</t>
  </si>
  <si>
    <t>密云县新农村“五项基础设施”建设</t>
  </si>
  <si>
    <t>2017年北京市政府一般债券（三期）1705235</t>
  </si>
  <si>
    <t>5年期</t>
  </si>
  <si>
    <t>区住建委</t>
  </si>
  <si>
    <t>新建绿萌停车场工程</t>
  </si>
  <si>
    <t>密云区26个村安全饮水工程</t>
  </si>
  <si>
    <t>区城管委</t>
  </si>
  <si>
    <t>密沙路（新中街）综合改造工程</t>
  </si>
  <si>
    <t>2017年北京市政府一般债券（四期）1705236</t>
  </si>
  <si>
    <t>城管委</t>
  </si>
  <si>
    <t>城市“胡同巷道畅起来，居民小区亮起来，市容市貌美起来”工程</t>
  </si>
  <si>
    <t>卫计委、公安分局、水务局、园林绿化局、农业局、交通局、城区三大供热中心、政府机关事务办、环保局</t>
  </si>
  <si>
    <t>燃煤锅炉清洁能源改造</t>
  </si>
  <si>
    <t>密云区西统路（云西三街-河北路）道路工程</t>
  </si>
  <si>
    <t>2017年北京市政府一般债券（五期）1705237</t>
  </si>
  <si>
    <t>区农委</t>
  </si>
  <si>
    <t>密云区农村地区环境整治工程</t>
  </si>
  <si>
    <t>水库一级保护区内污水治理</t>
  </si>
  <si>
    <t>密云区西统路（河北路-密关路）道路工程</t>
  </si>
  <si>
    <t>区域环境提升工程</t>
  </si>
  <si>
    <t>2018年北京市政府一般债券（四期）1805150</t>
  </si>
  <si>
    <t>区农业农村局</t>
  </si>
  <si>
    <t>农村地区冬季清洁取暖工作</t>
  </si>
  <si>
    <t>密云区白河城市森林公园</t>
  </si>
  <si>
    <t>区卫健委</t>
  </si>
  <si>
    <t>密云区中医医院迁址新建及周边工程</t>
  </si>
  <si>
    <t>老旧小区环境提升工程和绿荫停车场改造工程</t>
  </si>
  <si>
    <t xml:space="preserve">垃圾站改造、垃圾综合处理中心厂外配套工程 </t>
  </si>
  <si>
    <t>管线高程、道路修缮工程</t>
  </si>
  <si>
    <t>冶仙塔公园</t>
  </si>
  <si>
    <t>2018年老旧小区综合改造</t>
  </si>
  <si>
    <t>2018年北京市政府一般债券（七期）1805150（借新还旧）</t>
  </si>
  <si>
    <t>县医院配套道路工程</t>
  </si>
  <si>
    <t>北京渔阳旅游集团</t>
  </si>
  <si>
    <t>农村基础设施建设中长期贷款</t>
  </si>
  <si>
    <t>拖欠荆子峪林场六路一口一园园林绿化工程</t>
  </si>
  <si>
    <t>拖欠密云县园林绿化服务中心西统路绿化工程款</t>
  </si>
  <si>
    <t>溪翁庄镇</t>
  </si>
  <si>
    <t>溪翁庄镇集约化供水工程</t>
  </si>
  <si>
    <t>不老屯镇</t>
  </si>
  <si>
    <t>拖欠北京亨通修缮队学各庄修路资金</t>
  </si>
  <si>
    <t>拖欠密云县不老屯动监所消毒费</t>
  </si>
  <si>
    <t>拖欠北京世纪新泰建筑工程有限公司护坡款</t>
  </si>
  <si>
    <t>穆家峪镇</t>
  </si>
  <si>
    <t>万亩节水工程借款</t>
  </si>
  <si>
    <t>拖欠供排水工程款</t>
  </si>
  <si>
    <t>东邵渠镇</t>
  </si>
  <si>
    <t>爱农驿站成人学校改造工程</t>
  </si>
  <si>
    <t>东邵渠镇政府污水排水工程</t>
  </si>
  <si>
    <t>东邵渠镇污水处理及回用工程</t>
  </si>
  <si>
    <t>巨各庄镇政府借芹运平安运输户款</t>
  </si>
  <si>
    <t>密云县巨各庄镇蔬菜站贷款</t>
  </si>
  <si>
    <t>密云县巨各庄乡畜牧工作站贷款</t>
  </si>
  <si>
    <t>密云县生态县新农村能源建设</t>
  </si>
  <si>
    <t>密云卫星城道路管网工程建设</t>
  </si>
  <si>
    <t>2019年北京市政府一般债券（四）1905004</t>
  </si>
  <si>
    <t>公安局</t>
  </si>
  <si>
    <t>交通指挥中心信息系统平台和智能交通科技行动建设工程</t>
  </si>
  <si>
    <t>水务局</t>
  </si>
  <si>
    <t>东水西调输水管线改造和再生水厂地下管网工程</t>
  </si>
  <si>
    <t>2020年北京市政府一般债券（三期）2005078</t>
  </si>
  <si>
    <t>冬季清洁取暖工作</t>
  </si>
  <si>
    <t>密云区污水及供水等美丽乡村建设项目</t>
  </si>
  <si>
    <t>密云新城再生水厂配套管网和东水西调输水管线改造工程</t>
  </si>
  <si>
    <t>2020年环境建设重点项目</t>
  </si>
  <si>
    <t>2020年北京市政府一般债券（六期）2005806</t>
  </si>
  <si>
    <t>密云区城乡生活垃圾分类项目</t>
  </si>
  <si>
    <t>塘峪220千伏输变电工程、西智35千伏变电站升压等工程项目</t>
  </si>
  <si>
    <t>顺潮街道路工程</t>
  </si>
  <si>
    <t>群众满意民生工程项目</t>
  </si>
  <si>
    <t>密东广场北侧宾阳旧村改造项目（口袋公园）</t>
  </si>
  <si>
    <t>2020年北京市地方政府再融资一般债券（四期）2005637</t>
  </si>
  <si>
    <t>密云县阳光街等四条道路工程建设</t>
  </si>
  <si>
    <t>2020年北京市地方政府再融资一般债券（六期）2005667</t>
  </si>
  <si>
    <t>密云县垃圾填埋场及粪便处理场项目</t>
  </si>
  <si>
    <t>密云县果园北街等十一条道路工程建设项目</t>
  </si>
  <si>
    <t>密云县华远市场改扩建项目</t>
  </si>
  <si>
    <t>密云县2006年市政道路建设项目</t>
  </si>
  <si>
    <t>密云县体育场项目</t>
  </si>
  <si>
    <t>2021年北京市政府一般债券（四期）</t>
  </si>
  <si>
    <t>顺潮街（京承高速顺密路立交—新东路）道路工程</t>
  </si>
  <si>
    <t>区公路分局</t>
  </si>
  <si>
    <t>京沈高铁沿线环境整治工程</t>
  </si>
  <si>
    <t>2021年污水及供水等美丽乡村建设项目</t>
  </si>
  <si>
    <t>2021年北京市政府一般债券（六期）</t>
  </si>
  <si>
    <t>密云区城市管理委</t>
  </si>
  <si>
    <t>密云区水务局</t>
  </si>
  <si>
    <t>2021年北京市政府一般债券（九期）2171064</t>
  </si>
  <si>
    <t>道路工程拆迁腾退项目</t>
  </si>
  <si>
    <t>电力工程拆迁腾退项目</t>
  </si>
  <si>
    <t>专项债券合计</t>
  </si>
  <si>
    <t>2015年北京市政府置换专项债券七期（1541030）</t>
  </si>
  <si>
    <t>北京密云经济开发区总公司</t>
  </si>
  <si>
    <t>基础设施建设</t>
  </si>
  <si>
    <t>2015年北京市政府置换专项债券九期（1541032）</t>
  </si>
  <si>
    <t>县医院新址设备购置借款</t>
  </si>
  <si>
    <t>2016年北京市政府新增专项债券四期（1605523）</t>
  </si>
  <si>
    <t>市政市容委</t>
  </si>
  <si>
    <t>垃圾处理中心项目</t>
  </si>
  <si>
    <t>2018年北京市政府专项债券（八期）1805356（借新换旧）</t>
  </si>
  <si>
    <t>2019年北京市棚改专项债券（一期）-2019年政府专项债券（二期）1905120</t>
  </si>
  <si>
    <t>5年期（2+3）</t>
  </si>
  <si>
    <t>密云区穆家峪镇新农村刘林池棚户区改造项目</t>
  </si>
  <si>
    <t>2019年北京棚改专项债券（五）-2019年政府专项债券（十七期）1905251</t>
  </si>
  <si>
    <t>（3年期）2+1</t>
  </si>
  <si>
    <t>北京市密云区十里堡镇王各庄棚户区改造项目</t>
  </si>
  <si>
    <t>2019年北京市土储专项债券（三期）-2019年政府专项债券（十二期）1905246</t>
  </si>
  <si>
    <t>土储中心</t>
  </si>
  <si>
    <t>密云水源路南侧B地块土地一级开发项目</t>
  </si>
  <si>
    <t>2019年北京市土储专项债券（四期）-2019年政府专项债券（十三期）1905247</t>
  </si>
  <si>
    <t>密云水源路南侧C1.地块土地一级开发项目</t>
  </si>
  <si>
    <t>2020年北京市政府专项债券（九期）2005556</t>
  </si>
  <si>
    <t>2020年北京市地方政府再融资专项债券（二期）2005796</t>
  </si>
  <si>
    <t>基础设施建设项目</t>
  </si>
  <si>
    <t>2021年北京市政府专项债券（十七期）</t>
  </si>
  <si>
    <t>密云区果园街道西大桥棚户区改造项目</t>
  </si>
  <si>
    <t>北京市密云区溪翁庄镇溪翁庄村棚户区改造项目</t>
  </si>
</sst>
</file>

<file path=xl/styles.xml><?xml version="1.0" encoding="utf-8"?>
<styleSheet xmlns="http://schemas.openxmlformats.org/spreadsheetml/2006/main">
  <numFmts count="7">
    <numFmt numFmtId="43" formatCode="_ * #,##0.00_ ;_ * \-#,##0.00_ ;_ * &quot;-&quot;??_ ;_ @_ "/>
    <numFmt numFmtId="176" formatCode="0.00_);[Red]\(0.00\)"/>
    <numFmt numFmtId="177" formatCode="0_);[Red]\(0\)"/>
    <numFmt numFmtId="42" formatCode="_ &quot;￥&quot;* #,##0_ ;_ &quot;￥&quot;* \-#,##0_ ;_ &quot;￥&quot;* &quot;-&quot;_ ;_ @_ "/>
    <numFmt numFmtId="178" formatCode="0.00_ "/>
    <numFmt numFmtId="44" formatCode="_ &quot;￥&quot;* #,##0.00_ ;_ &quot;￥&quot;* \-#,##0.00_ ;_ &quot;￥&quot;* &quot;-&quot;??_ ;_ @_ "/>
    <numFmt numFmtId="41" formatCode="_ * #,##0_ ;_ * \-#,##0_ ;_ * &quot;-&quot;_ ;_ @_ "/>
  </numFmts>
  <fonts count="41">
    <font>
      <sz val="11"/>
      <color theme="1"/>
      <name val="宋体"/>
      <charset val="134"/>
      <scheme val="minor"/>
    </font>
    <font>
      <sz val="9"/>
      <color theme="1"/>
      <name val="宋体"/>
      <charset val="134"/>
      <scheme val="minor"/>
    </font>
    <font>
      <b/>
      <sz val="10"/>
      <color theme="1"/>
      <name val="宋体"/>
      <charset val="134"/>
    </font>
    <font>
      <b/>
      <sz val="10"/>
      <name val="宋体"/>
      <charset val="134"/>
    </font>
    <font>
      <b/>
      <sz val="9"/>
      <name val="宋体"/>
      <charset val="134"/>
    </font>
    <font>
      <b/>
      <sz val="9"/>
      <color theme="1"/>
      <name val="宋体"/>
      <charset val="134"/>
      <scheme val="minor"/>
    </font>
    <font>
      <sz val="9"/>
      <name val="宋体"/>
      <charset val="134"/>
    </font>
    <font>
      <b/>
      <sz val="9"/>
      <color theme="1"/>
      <name val="宋体"/>
      <charset val="134"/>
    </font>
    <font>
      <b/>
      <sz val="24"/>
      <color theme="1"/>
      <name val="宋体"/>
      <charset val="134"/>
      <scheme val="minor"/>
    </font>
    <font>
      <b/>
      <sz val="10"/>
      <color indexed="8"/>
      <name val="宋体"/>
      <charset val="134"/>
    </font>
    <font>
      <b/>
      <sz val="9"/>
      <color indexed="8"/>
      <name val="宋体"/>
      <charset val="134"/>
    </font>
    <font>
      <b/>
      <sz val="9"/>
      <name val="宋体"/>
      <charset val="134"/>
      <scheme val="minor"/>
    </font>
    <font>
      <sz val="9"/>
      <color indexed="8"/>
      <name val="宋体"/>
      <charset val="134"/>
    </font>
    <font>
      <sz val="9"/>
      <color theme="1"/>
      <name val="宋体"/>
      <charset val="134"/>
    </font>
    <font>
      <b/>
      <sz val="9"/>
      <color indexed="8"/>
      <name val="宋体"/>
      <charset val="134"/>
      <scheme val="minor"/>
    </font>
    <font>
      <sz val="9"/>
      <color indexed="8"/>
      <name val="宋体"/>
      <charset val="134"/>
      <scheme val="minor"/>
    </font>
    <font>
      <sz val="8"/>
      <color indexed="8"/>
      <name val="宋体"/>
      <charset val="134"/>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sz val="12"/>
      <name val="宋体"/>
      <charset val="134"/>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indexed="8"/>
      <name val="宋体"/>
      <charset val="134"/>
      <scheme val="minor"/>
    </font>
    <font>
      <b/>
      <sz val="11"/>
      <color rgb="FFFA7D00"/>
      <name val="宋体"/>
      <charset val="0"/>
      <scheme val="minor"/>
    </font>
    <font>
      <sz val="11"/>
      <color rgb="FFFA7D00"/>
      <name val="宋体"/>
      <charset val="0"/>
      <scheme val="minor"/>
    </font>
    <font>
      <sz val="11"/>
      <color rgb="FF006100"/>
      <name val="宋体"/>
      <charset val="0"/>
      <scheme val="minor"/>
    </font>
    <font>
      <sz val="9"/>
      <name val="宋体"/>
      <charset val="134"/>
    </font>
    <font>
      <b/>
      <sz val="9"/>
      <name val="宋体"/>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1"/>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8" fillId="28" borderId="0" applyNumberFormat="0" applyBorder="0" applyAlignment="0" applyProtection="0">
      <alignment vertical="center"/>
    </xf>
    <xf numFmtId="0" fontId="34" fillId="2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8" borderId="0" applyNumberFormat="0" applyBorder="0" applyAlignment="0" applyProtection="0">
      <alignment vertical="center"/>
    </xf>
    <xf numFmtId="0" fontId="25" fillId="12" borderId="0" applyNumberFormat="0" applyBorder="0" applyAlignment="0" applyProtection="0">
      <alignment vertical="center"/>
    </xf>
    <xf numFmtId="43" fontId="0" fillId="0" borderId="0" applyFont="0" applyFill="0" applyBorder="0" applyAlignment="0" applyProtection="0">
      <alignment vertical="center"/>
    </xf>
    <xf numFmtId="0" fontId="26" fillId="31"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7" borderId="8" applyNumberFormat="0" applyFont="0" applyAlignment="0" applyProtection="0">
      <alignment vertical="center"/>
    </xf>
    <xf numFmtId="0" fontId="26" fillId="24"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9" fillId="0" borderId="6" applyNumberFormat="0" applyFill="0" applyAlignment="0" applyProtection="0">
      <alignment vertical="center"/>
    </xf>
    <xf numFmtId="0" fontId="20" fillId="0" borderId="6" applyNumberFormat="0" applyFill="0" applyAlignment="0" applyProtection="0">
      <alignment vertical="center"/>
    </xf>
    <xf numFmtId="0" fontId="26" fillId="30" borderId="0" applyNumberFormat="0" applyBorder="0" applyAlignment="0" applyProtection="0">
      <alignment vertical="center"/>
    </xf>
    <xf numFmtId="0" fontId="23" fillId="0" borderId="10" applyNumberFormat="0" applyFill="0" applyAlignment="0" applyProtection="0">
      <alignment vertical="center"/>
    </xf>
    <xf numFmtId="0" fontId="26" fillId="23" borderId="0" applyNumberFormat="0" applyBorder="0" applyAlignment="0" applyProtection="0">
      <alignment vertical="center"/>
    </xf>
    <xf numFmtId="0" fontId="28" fillId="16" borderId="7" applyNumberFormat="0" applyAlignment="0" applyProtection="0">
      <alignment vertical="center"/>
    </xf>
    <xf numFmtId="0" fontId="36" fillId="16" borderId="11" applyNumberFormat="0" applyAlignment="0" applyProtection="0">
      <alignment vertical="center"/>
    </xf>
    <xf numFmtId="0" fontId="19" fillId="7" borderId="5" applyNumberFormat="0" applyAlignment="0" applyProtection="0">
      <alignment vertical="center"/>
    </xf>
    <xf numFmtId="0" fontId="18" fillId="35" borderId="0" applyNumberFormat="0" applyBorder="0" applyAlignment="0" applyProtection="0">
      <alignment vertical="center"/>
    </xf>
    <xf numFmtId="0" fontId="26" fillId="20" borderId="0" applyNumberFormat="0" applyBorder="0" applyAlignment="0" applyProtection="0">
      <alignment vertical="center"/>
    </xf>
    <xf numFmtId="0" fontId="37" fillId="0" borderId="12" applyNumberFormat="0" applyFill="0" applyAlignment="0" applyProtection="0">
      <alignment vertical="center"/>
    </xf>
    <xf numFmtId="0" fontId="30" fillId="0" borderId="9" applyNumberFormat="0" applyFill="0" applyAlignment="0" applyProtection="0">
      <alignment vertical="center"/>
    </xf>
    <xf numFmtId="0" fontId="38" fillId="34" borderId="0" applyNumberFormat="0" applyBorder="0" applyAlignment="0" applyProtection="0">
      <alignment vertical="center"/>
    </xf>
    <xf numFmtId="0" fontId="33" fillId="22" borderId="0" applyNumberFormat="0" applyBorder="0" applyAlignment="0" applyProtection="0">
      <alignment vertical="center"/>
    </xf>
    <xf numFmtId="0" fontId="27" fillId="0" borderId="0"/>
    <xf numFmtId="0" fontId="18" fillId="27" borderId="0" applyNumberFormat="0" applyBorder="0" applyAlignment="0" applyProtection="0">
      <alignment vertical="center"/>
    </xf>
    <xf numFmtId="0" fontId="26" fillId="15" borderId="0" applyNumberFormat="0" applyBorder="0" applyAlignment="0" applyProtection="0">
      <alignment vertical="center"/>
    </xf>
    <xf numFmtId="0" fontId="18" fillId="26" borderId="0" applyNumberFormat="0" applyBorder="0" applyAlignment="0" applyProtection="0">
      <alignment vertical="center"/>
    </xf>
    <xf numFmtId="0" fontId="18" fillId="6" borderId="0" applyNumberFormat="0" applyBorder="0" applyAlignment="0" applyProtection="0">
      <alignment vertical="center"/>
    </xf>
    <xf numFmtId="0" fontId="18" fillId="33" borderId="0" applyNumberFormat="0" applyBorder="0" applyAlignment="0" applyProtection="0">
      <alignment vertical="center"/>
    </xf>
    <xf numFmtId="0" fontId="18" fillId="11" borderId="0" applyNumberFormat="0" applyBorder="0" applyAlignment="0" applyProtection="0">
      <alignment vertical="center"/>
    </xf>
    <xf numFmtId="0" fontId="26" fillId="14" borderId="0" applyNumberFormat="0" applyBorder="0" applyAlignment="0" applyProtection="0">
      <alignment vertical="center"/>
    </xf>
    <xf numFmtId="0" fontId="26" fillId="19" borderId="0" applyNumberFormat="0" applyBorder="0" applyAlignment="0" applyProtection="0">
      <alignment vertical="center"/>
    </xf>
    <xf numFmtId="0" fontId="18" fillId="32" borderId="0" applyNumberFormat="0" applyBorder="0" applyAlignment="0" applyProtection="0">
      <alignment vertical="center"/>
    </xf>
    <xf numFmtId="0" fontId="18" fillId="10" borderId="0" applyNumberFormat="0" applyBorder="0" applyAlignment="0" applyProtection="0">
      <alignment vertical="center"/>
    </xf>
    <xf numFmtId="0" fontId="26" fillId="13" borderId="0" applyNumberFormat="0" applyBorder="0" applyAlignment="0" applyProtection="0">
      <alignment vertical="center"/>
    </xf>
    <xf numFmtId="0" fontId="18" fillId="5" borderId="0" applyNumberFormat="0" applyBorder="0" applyAlignment="0" applyProtection="0">
      <alignment vertical="center"/>
    </xf>
    <xf numFmtId="0" fontId="26" fillId="29" borderId="0" applyNumberFormat="0" applyBorder="0" applyAlignment="0" applyProtection="0">
      <alignment vertical="center"/>
    </xf>
    <xf numFmtId="0" fontId="26" fillId="18" borderId="0" applyNumberFormat="0" applyBorder="0" applyAlignment="0" applyProtection="0">
      <alignment vertical="center"/>
    </xf>
    <xf numFmtId="0" fontId="18" fillId="9" borderId="0" applyNumberFormat="0" applyBorder="0" applyAlignment="0" applyProtection="0">
      <alignment vertical="center"/>
    </xf>
    <xf numFmtId="0" fontId="26" fillId="21" borderId="0" applyNumberFormat="0" applyBorder="0" applyAlignment="0" applyProtection="0">
      <alignment vertical="center"/>
    </xf>
    <xf numFmtId="0" fontId="35" fillId="0" borderId="0">
      <alignment vertical="center"/>
    </xf>
  </cellStyleXfs>
  <cellXfs count="125">
    <xf numFmtId="0" fontId="0" fillId="0" borderId="0" xfId="0">
      <alignment vertical="center"/>
    </xf>
    <xf numFmtId="0" fontId="1" fillId="0" borderId="0" xfId="0" applyFont="1" applyFill="1" applyAlignment="1" applyProtection="1">
      <alignment horizontal="right"/>
      <protection locked="0"/>
    </xf>
    <xf numFmtId="0" fontId="2" fillId="2" borderId="0" xfId="0" applyFont="1" applyFill="1" applyAlignment="1" applyProtection="1">
      <alignment horizontal="center" vertical="center" wrapText="1"/>
      <protection locked="0"/>
    </xf>
    <xf numFmtId="178" fontId="3" fillId="0" borderId="0" xfId="0" applyNumberFormat="1" applyFont="1" applyFill="1" applyAlignment="1">
      <alignment horizontal="right"/>
    </xf>
    <xf numFmtId="178" fontId="4" fillId="2" borderId="0" xfId="0" applyNumberFormat="1" applyFont="1" applyFill="1" applyAlignment="1">
      <alignment horizontal="right"/>
    </xf>
    <xf numFmtId="0" fontId="1" fillId="2" borderId="0" xfId="0" applyFont="1" applyFill="1" applyAlignment="1">
      <alignment horizontal="right"/>
    </xf>
    <xf numFmtId="0" fontId="5" fillId="2" borderId="0" xfId="0" applyFont="1" applyFill="1" applyAlignment="1">
      <alignment horizontal="right"/>
    </xf>
    <xf numFmtId="0" fontId="6" fillId="2" borderId="0" xfId="0" applyFont="1" applyFill="1" applyAlignment="1">
      <alignment horizontal="right"/>
    </xf>
    <xf numFmtId="0" fontId="5" fillId="3" borderId="0" xfId="0" applyFont="1" applyFill="1" applyAlignment="1">
      <alignment horizontal="right"/>
    </xf>
    <xf numFmtId="0" fontId="5" fillId="0" borderId="0" xfId="0" applyFont="1" applyFill="1"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177" fontId="4" fillId="0" borderId="0" xfId="0" applyNumberFormat="1" applyFont="1" applyFill="1" applyAlignment="1">
      <alignment horizontal="center" wrapText="1"/>
    </xf>
    <xf numFmtId="177" fontId="7" fillId="0" borderId="0" xfId="0" applyNumberFormat="1" applyFont="1" applyFill="1" applyAlignment="1">
      <alignment horizontal="right" wrapText="1"/>
    </xf>
    <xf numFmtId="177" fontId="4" fillId="0" borderId="0" xfId="0" applyNumberFormat="1" applyFont="1" applyFill="1" applyAlignment="1">
      <alignment horizontal="right" wrapText="1"/>
    </xf>
    <xf numFmtId="177" fontId="1" fillId="2" borderId="0" xfId="0" applyNumberFormat="1" applyFont="1" applyFill="1" applyAlignment="1">
      <alignment horizontal="right" wrapText="1"/>
    </xf>
    <xf numFmtId="176" fontId="1" fillId="0" borderId="0" xfId="0" applyNumberFormat="1" applyFont="1" applyFill="1" applyAlignment="1">
      <alignment horizontal="right" wrapText="1"/>
    </xf>
    <xf numFmtId="0" fontId="5" fillId="0" borderId="0" xfId="0" applyFont="1" applyFill="1" applyAlignment="1">
      <alignment horizontal="right"/>
    </xf>
    <xf numFmtId="0" fontId="1" fillId="0" borderId="0" xfId="0" applyFont="1" applyFill="1" applyAlignment="1">
      <alignment horizontal="right"/>
    </xf>
    <xf numFmtId="0" fontId="8" fillId="0" borderId="0" xfId="0" applyFont="1" applyFill="1" applyAlignment="1" applyProtection="1">
      <alignment horizontal="center" vertical="center" wrapText="1"/>
      <protection locked="0"/>
    </xf>
    <xf numFmtId="0" fontId="5" fillId="0" borderId="0" xfId="0" applyFont="1" applyFill="1" applyAlignment="1" applyProtection="1">
      <alignment horizontal="right" vertical="center"/>
      <protection locked="0"/>
    </xf>
    <xf numFmtId="0" fontId="2" fillId="4" borderId="1" xfId="0" applyFont="1" applyFill="1" applyBorder="1" applyAlignment="1" applyProtection="1">
      <alignment horizontal="center" vertical="center" wrapText="1"/>
      <protection locked="0"/>
    </xf>
    <xf numFmtId="0" fontId="2" fillId="4" borderId="1" xfId="0" applyNumberFormat="1" applyFont="1" applyFill="1" applyBorder="1" applyAlignment="1" applyProtection="1">
      <alignment horizontal="center" vertical="center" wrapText="1"/>
      <protection locked="0"/>
    </xf>
    <xf numFmtId="177" fontId="2" fillId="4" borderId="1" xfId="0" applyNumberFormat="1" applyFont="1" applyFill="1" applyBorder="1" applyAlignment="1" applyProtection="1">
      <alignment horizontal="center" vertical="center" wrapText="1"/>
      <protection locked="0"/>
    </xf>
    <xf numFmtId="178" fontId="9" fillId="4" borderId="2" xfId="0" applyNumberFormat="1" applyFont="1" applyFill="1" applyBorder="1" applyAlignment="1" applyProtection="1">
      <alignment horizontal="center" vertical="center" wrapText="1"/>
    </xf>
    <xf numFmtId="178" fontId="9" fillId="4" borderId="3" xfId="0" applyNumberFormat="1" applyFont="1" applyFill="1" applyBorder="1" applyAlignment="1" applyProtection="1">
      <alignment horizontal="center" vertical="center" wrapText="1"/>
    </xf>
    <xf numFmtId="178" fontId="9" fillId="4" borderId="4" xfId="0" applyNumberFormat="1" applyFont="1" applyFill="1" applyBorder="1" applyAlignment="1" applyProtection="1">
      <alignment horizontal="center" vertical="center" wrapText="1"/>
    </xf>
    <xf numFmtId="178" fontId="9" fillId="4" borderId="1" xfId="0" applyNumberFormat="1" applyFont="1" applyFill="1" applyBorder="1" applyAlignment="1" applyProtection="1">
      <alignment horizontal="right" vertical="center" wrapText="1"/>
    </xf>
    <xf numFmtId="178" fontId="10" fillId="4" borderId="2" xfId="0" applyNumberFormat="1" applyFont="1" applyFill="1" applyBorder="1" applyAlignment="1" applyProtection="1">
      <alignment horizontal="center" vertical="center"/>
    </xf>
    <xf numFmtId="178" fontId="10" fillId="4" borderId="3" xfId="0" applyNumberFormat="1" applyFont="1" applyFill="1" applyBorder="1" applyAlignment="1" applyProtection="1">
      <alignment horizontal="center" vertical="center"/>
    </xf>
    <xf numFmtId="178" fontId="10" fillId="4" borderId="4" xfId="0" applyNumberFormat="1" applyFont="1" applyFill="1" applyBorder="1" applyAlignment="1" applyProtection="1">
      <alignment horizontal="center" vertical="center"/>
    </xf>
    <xf numFmtId="178" fontId="10" fillId="4" borderId="1" xfId="0" applyNumberFormat="1" applyFont="1" applyFill="1" applyBorder="1" applyAlignment="1" applyProtection="1">
      <alignment horizontal="right" vertical="center" wrapText="1"/>
    </xf>
    <xf numFmtId="0" fontId="4" fillId="2" borderId="1" xfId="0" applyFont="1" applyFill="1" applyBorder="1" applyAlignment="1">
      <alignment horizontal="center" vertical="center"/>
    </xf>
    <xf numFmtId="0" fontId="10" fillId="2" borderId="2" xfId="0" applyNumberFormat="1" applyFont="1" applyFill="1" applyBorder="1" applyAlignment="1" applyProtection="1">
      <alignment horizontal="center" vertical="center" wrapText="1"/>
    </xf>
    <xf numFmtId="0" fontId="10" fillId="2" borderId="4" xfId="0" applyNumberFormat="1" applyFont="1" applyFill="1" applyBorder="1" applyAlignment="1" applyProtection="1">
      <alignment horizontal="center" vertical="center" wrapText="1"/>
    </xf>
    <xf numFmtId="0" fontId="10" fillId="2" borderId="1" xfId="0" applyNumberFormat="1" applyFont="1" applyFill="1" applyBorder="1" applyAlignment="1" applyProtection="1">
      <alignment horizontal="center" vertical="center" wrapText="1"/>
    </xf>
    <xf numFmtId="0" fontId="7" fillId="2" borderId="1" xfId="0" applyNumberFormat="1" applyFont="1" applyFill="1" applyBorder="1" applyAlignment="1" applyProtection="1">
      <alignment horizontal="center" vertical="center"/>
    </xf>
    <xf numFmtId="14" fontId="10" fillId="2" borderId="1" xfId="0" applyNumberFormat="1" applyFont="1" applyFill="1" applyBorder="1" applyAlignment="1" applyProtection="1">
      <alignment horizontal="center" vertical="center"/>
    </xf>
    <xf numFmtId="178" fontId="7" fillId="2" borderId="1" xfId="0" applyNumberFormat="1" applyFont="1" applyFill="1" applyBorder="1" applyAlignment="1" applyProtection="1">
      <alignment horizontal="right" vertical="center" wrapText="1"/>
    </xf>
    <xf numFmtId="178" fontId="11" fillId="2" borderId="1" xfId="0" applyNumberFormat="1" applyFont="1" applyFill="1" applyBorder="1" applyAlignment="1" applyProtection="1">
      <alignment horizontal="right" vertical="center"/>
    </xf>
    <xf numFmtId="176" fontId="12" fillId="2" borderId="1" xfId="0" applyNumberFormat="1" applyFont="1" applyFill="1" applyBorder="1" applyAlignment="1" applyProtection="1">
      <alignment horizontal="left" vertical="center" wrapText="1"/>
    </xf>
    <xf numFmtId="176" fontId="6" fillId="2" borderId="1" xfId="0" applyNumberFormat="1" applyFont="1" applyFill="1" applyBorder="1" applyAlignment="1" applyProtection="1">
      <alignment horizontal="left" vertical="center" wrapText="1"/>
    </xf>
    <xf numFmtId="0" fontId="10" fillId="2" borderId="1" xfId="0" applyNumberFormat="1" applyFont="1" applyFill="1" applyBorder="1" applyAlignment="1" applyProtection="1">
      <alignment horizontal="center" wrapText="1"/>
    </xf>
    <xf numFmtId="0" fontId="7" fillId="2" borderId="1" xfId="0" applyNumberFormat="1" applyFont="1" applyFill="1" applyBorder="1" applyAlignment="1" applyProtection="1">
      <alignment horizontal="right"/>
    </xf>
    <xf numFmtId="14" fontId="10" fillId="2" borderId="1" xfId="0" applyNumberFormat="1" applyFont="1" applyFill="1" applyBorder="1" applyAlignment="1" applyProtection="1">
      <alignment horizontal="left"/>
    </xf>
    <xf numFmtId="178" fontId="13" fillId="2" borderId="1" xfId="0" applyNumberFormat="1" applyFont="1" applyFill="1" applyBorder="1" applyAlignment="1" applyProtection="1">
      <alignment horizontal="right" vertical="center" wrapText="1"/>
    </xf>
    <xf numFmtId="49" fontId="4" fillId="2" borderId="1" xfId="0" applyNumberFormat="1" applyFont="1" applyFill="1" applyBorder="1" applyAlignment="1">
      <alignment horizontal="center" vertical="center"/>
    </xf>
    <xf numFmtId="0" fontId="12" fillId="2" borderId="1" xfId="0" applyNumberFormat="1" applyFont="1" applyFill="1" applyBorder="1" applyAlignment="1" applyProtection="1">
      <alignment horizontal="left" vertical="center" wrapText="1"/>
    </xf>
    <xf numFmtId="177" fontId="10" fillId="2" borderId="1" xfId="0" applyNumberFormat="1" applyFont="1" applyFill="1" applyBorder="1" applyAlignment="1" applyProtection="1">
      <alignment horizontal="center" wrapText="1"/>
    </xf>
    <xf numFmtId="0" fontId="6" fillId="2" borderId="1" xfId="0" applyFont="1" applyFill="1" applyBorder="1" applyAlignment="1">
      <alignment horizontal="left" vertical="center"/>
    </xf>
    <xf numFmtId="177" fontId="10" fillId="2" borderId="1" xfId="0" applyNumberFormat="1" applyFont="1" applyFill="1" applyBorder="1" applyAlignment="1" applyProtection="1">
      <alignment horizontal="center" vertical="center" wrapText="1"/>
    </xf>
    <xf numFmtId="177" fontId="12" fillId="2" borderId="1" xfId="0" applyNumberFormat="1" applyFont="1" applyFill="1" applyBorder="1" applyAlignment="1" applyProtection="1">
      <alignment horizontal="center" wrapText="1"/>
    </xf>
    <xf numFmtId="0" fontId="13" fillId="2" borderId="1" xfId="0" applyNumberFormat="1" applyFont="1" applyFill="1" applyBorder="1" applyAlignment="1" applyProtection="1">
      <alignment horizontal="right"/>
    </xf>
    <xf numFmtId="14" fontId="12" fillId="2" borderId="1" xfId="0" applyNumberFormat="1" applyFont="1" applyFill="1" applyBorder="1" applyAlignment="1" applyProtection="1">
      <alignment horizontal="left"/>
    </xf>
    <xf numFmtId="176" fontId="10" fillId="2" borderId="2" xfId="0" applyNumberFormat="1" applyFont="1" applyFill="1" applyBorder="1" applyAlignment="1" applyProtection="1">
      <alignment horizontal="center" vertical="center" wrapText="1"/>
    </xf>
    <xf numFmtId="176" fontId="10" fillId="2" borderId="4" xfId="0" applyNumberFormat="1" applyFont="1" applyFill="1" applyBorder="1" applyAlignment="1" applyProtection="1">
      <alignment horizontal="center" vertical="center" wrapText="1"/>
    </xf>
    <xf numFmtId="4" fontId="4" fillId="2" borderId="1" xfId="0" applyNumberFormat="1" applyFont="1" applyFill="1" applyBorder="1" applyAlignment="1">
      <alignment horizontal="center" vertical="center"/>
    </xf>
    <xf numFmtId="4" fontId="6" fillId="2" borderId="1" xfId="0" applyNumberFormat="1" applyFont="1" applyFill="1" applyBorder="1" applyAlignment="1">
      <alignment horizontal="center"/>
    </xf>
    <xf numFmtId="177" fontId="7" fillId="2" borderId="1" xfId="0" applyNumberFormat="1" applyFont="1" applyFill="1" applyBorder="1" applyAlignment="1" applyProtection="1">
      <alignment horizontal="center" vertical="center" wrapText="1"/>
    </xf>
    <xf numFmtId="14" fontId="14" fillId="2" borderId="1" xfId="0" applyNumberFormat="1" applyFont="1" applyFill="1" applyBorder="1" applyAlignment="1" applyProtection="1">
      <alignment horizontal="center" vertical="center"/>
    </xf>
    <xf numFmtId="177" fontId="7" fillId="2" borderId="1" xfId="0" applyNumberFormat="1" applyFont="1" applyFill="1" applyBorder="1" applyAlignment="1" applyProtection="1">
      <alignment horizontal="right" wrapText="1"/>
    </xf>
    <xf numFmtId="14" fontId="14" fillId="2" borderId="1" xfId="0" applyNumberFormat="1" applyFont="1" applyFill="1" applyBorder="1" applyAlignment="1" applyProtection="1">
      <alignment horizontal="left"/>
    </xf>
    <xf numFmtId="177" fontId="13" fillId="2" borderId="1" xfId="0" applyNumberFormat="1" applyFont="1" applyFill="1" applyBorder="1" applyAlignment="1" applyProtection="1">
      <alignment horizontal="right" wrapText="1"/>
    </xf>
    <xf numFmtId="14" fontId="15" fillId="2" borderId="1" xfId="0" applyNumberFormat="1" applyFont="1" applyFill="1" applyBorder="1" applyAlignment="1" applyProtection="1">
      <alignment horizontal="left"/>
    </xf>
    <xf numFmtId="176" fontId="16" fillId="2" borderId="1" xfId="0" applyNumberFormat="1" applyFont="1" applyFill="1" applyBorder="1" applyAlignment="1" applyProtection="1">
      <alignment horizontal="left" vertical="center" wrapText="1"/>
    </xf>
    <xf numFmtId="176" fontId="14" fillId="2" borderId="2" xfId="0" applyNumberFormat="1" applyFont="1" applyFill="1" applyBorder="1" applyAlignment="1" applyProtection="1">
      <alignment horizontal="center" vertical="center" wrapText="1"/>
    </xf>
    <xf numFmtId="176" fontId="14" fillId="2" borderId="4" xfId="0" applyNumberFormat="1" applyFont="1" applyFill="1" applyBorder="1" applyAlignment="1" applyProtection="1">
      <alignment horizontal="center" vertical="center" wrapText="1"/>
    </xf>
    <xf numFmtId="177" fontId="5" fillId="2" borderId="1" xfId="0" applyNumberFormat="1" applyFont="1" applyFill="1" applyBorder="1" applyAlignment="1" applyProtection="1">
      <alignment horizontal="center" vertical="center" wrapText="1"/>
    </xf>
    <xf numFmtId="177" fontId="13" fillId="2" borderId="1" xfId="0" applyNumberFormat="1" applyFont="1" applyFill="1" applyBorder="1" applyAlignment="1" applyProtection="1">
      <alignment horizontal="center" wrapText="1"/>
    </xf>
    <xf numFmtId="177" fontId="1" fillId="2" borderId="1" xfId="0" applyNumberFormat="1" applyFont="1" applyFill="1" applyBorder="1" applyAlignment="1" applyProtection="1">
      <alignment horizontal="right" wrapText="1"/>
    </xf>
    <xf numFmtId="176" fontId="12" fillId="2" borderId="2" xfId="0" applyNumberFormat="1" applyFont="1" applyFill="1" applyBorder="1" applyAlignment="1" applyProtection="1">
      <alignment horizontal="left" vertical="center" wrapText="1"/>
    </xf>
    <xf numFmtId="176" fontId="17" fillId="2" borderId="1" xfId="33" applyNumberFormat="1" applyFont="1" applyFill="1" applyBorder="1" applyAlignment="1">
      <alignment horizontal="left" vertical="center" wrapText="1"/>
    </xf>
    <xf numFmtId="176" fontId="2" fillId="4" borderId="1" xfId="0" applyNumberFormat="1" applyFont="1" applyFill="1" applyBorder="1" applyAlignment="1" applyProtection="1">
      <alignment horizontal="center" vertical="center" wrapText="1"/>
      <protection locked="0"/>
    </xf>
    <xf numFmtId="178" fontId="10" fillId="2" borderId="0" xfId="0" applyNumberFormat="1" applyFont="1" applyFill="1" applyBorder="1" applyAlignment="1" applyProtection="1">
      <alignment horizontal="right" vertical="center" wrapText="1"/>
    </xf>
    <xf numFmtId="178" fontId="11" fillId="2" borderId="1" xfId="0" applyNumberFormat="1" applyFont="1" applyFill="1" applyBorder="1" applyAlignment="1">
      <alignment horizontal="right" vertical="center" wrapText="1"/>
    </xf>
    <xf numFmtId="178" fontId="11" fillId="2" borderId="1" xfId="0" applyNumberFormat="1" applyFont="1" applyFill="1" applyBorder="1" applyAlignment="1" applyProtection="1">
      <alignment horizontal="right" vertical="center" wrapText="1"/>
    </xf>
    <xf numFmtId="178" fontId="10" fillId="2" borderId="1" xfId="0" applyNumberFormat="1" applyFont="1" applyFill="1" applyBorder="1" applyAlignment="1" applyProtection="1">
      <alignment horizontal="right" vertical="center" wrapText="1"/>
    </xf>
    <xf numFmtId="176" fontId="4" fillId="2" borderId="2" xfId="0" applyNumberFormat="1" applyFont="1" applyFill="1" applyBorder="1" applyAlignment="1" applyProtection="1">
      <alignment horizontal="center" vertical="center" wrapText="1"/>
    </xf>
    <xf numFmtId="176" fontId="4" fillId="2" borderId="4" xfId="0" applyNumberFormat="1" applyFont="1" applyFill="1" applyBorder="1" applyAlignment="1" applyProtection="1">
      <alignment horizontal="center" vertical="center" wrapText="1"/>
    </xf>
    <xf numFmtId="0" fontId="14" fillId="2" borderId="2" xfId="0" applyNumberFormat="1" applyFont="1" applyFill="1" applyBorder="1" applyAlignment="1" applyProtection="1">
      <alignment horizontal="center" vertical="center" wrapText="1"/>
    </xf>
    <xf numFmtId="0" fontId="14" fillId="2" borderId="4" xfId="0" applyNumberFormat="1" applyFont="1" applyFill="1" applyBorder="1" applyAlignment="1" applyProtection="1">
      <alignment horizontal="center" vertical="center" wrapText="1"/>
    </xf>
    <xf numFmtId="0" fontId="12" fillId="2" borderId="1" xfId="0" applyNumberFormat="1" applyFont="1" applyFill="1" applyBorder="1" applyAlignment="1" applyProtection="1">
      <alignment horizontal="center" wrapText="1"/>
    </xf>
    <xf numFmtId="0" fontId="14" fillId="2" borderId="3" xfId="0" applyNumberFormat="1" applyFont="1" applyFill="1" applyBorder="1" applyAlignment="1" applyProtection="1">
      <alignment horizontal="center" vertical="center" wrapText="1"/>
    </xf>
    <xf numFmtId="178" fontId="7" fillId="4" borderId="1" xfId="0" applyNumberFormat="1" applyFont="1" applyFill="1" applyBorder="1" applyAlignment="1" applyProtection="1">
      <alignment horizontal="right" vertical="center" wrapText="1"/>
    </xf>
    <xf numFmtId="176" fontId="10" fillId="2" borderId="3" xfId="0" applyNumberFormat="1" applyFont="1" applyFill="1" applyBorder="1" applyAlignment="1" applyProtection="1">
      <alignment horizontal="center" vertical="center" wrapText="1"/>
    </xf>
    <xf numFmtId="177" fontId="1" fillId="2" borderId="1" xfId="0" applyNumberFormat="1" applyFont="1" applyFill="1" applyBorder="1" applyAlignment="1" applyProtection="1">
      <alignment horizontal="center" vertical="center" wrapText="1"/>
    </xf>
    <xf numFmtId="14" fontId="15" fillId="2" borderId="1" xfId="0" applyNumberFormat="1" applyFont="1" applyFill="1" applyBorder="1" applyAlignment="1" applyProtection="1">
      <alignment horizontal="center" vertical="center"/>
    </xf>
    <xf numFmtId="176" fontId="7" fillId="2" borderId="2" xfId="0" applyNumberFormat="1" applyFont="1" applyFill="1" applyBorder="1" applyAlignment="1" applyProtection="1">
      <alignment horizontal="center" vertical="center" wrapText="1"/>
    </xf>
    <xf numFmtId="176" fontId="7" fillId="2" borderId="3" xfId="0" applyNumberFormat="1" applyFont="1" applyFill="1" applyBorder="1" applyAlignment="1" applyProtection="1">
      <alignment horizontal="center" vertical="center" wrapText="1"/>
    </xf>
    <xf numFmtId="176" fontId="7" fillId="2" borderId="4" xfId="0" applyNumberFormat="1" applyFont="1" applyFill="1" applyBorder="1" applyAlignment="1" applyProtection="1">
      <alignment horizontal="center" vertical="center" wrapText="1"/>
    </xf>
    <xf numFmtId="176" fontId="13" fillId="2" borderId="1" xfId="0" applyNumberFormat="1" applyFont="1" applyFill="1" applyBorder="1" applyAlignment="1" applyProtection="1">
      <alignment horizontal="left" vertical="center" wrapText="1"/>
    </xf>
    <xf numFmtId="177" fontId="13" fillId="2" borderId="1" xfId="0" applyNumberFormat="1" applyFont="1" applyFill="1" applyBorder="1" applyAlignment="1" applyProtection="1">
      <alignment horizontal="center" vertical="center" wrapText="1"/>
    </xf>
    <xf numFmtId="0" fontId="14" fillId="2" borderId="1" xfId="0" applyNumberFormat="1" applyFont="1" applyFill="1" applyBorder="1" applyAlignment="1" applyProtection="1">
      <alignment horizontal="center" vertical="center" wrapText="1"/>
    </xf>
    <xf numFmtId="176" fontId="6" fillId="2" borderId="1" xfId="0" applyNumberFormat="1" applyFont="1" applyFill="1" applyBorder="1" applyAlignment="1" applyProtection="1">
      <alignment horizontal="center" vertical="center" wrapText="1"/>
    </xf>
    <xf numFmtId="0" fontId="14" fillId="2" borderId="1" xfId="0" applyNumberFormat="1" applyFont="1" applyFill="1" applyBorder="1" applyAlignment="1" applyProtection="1">
      <alignment horizontal="left" vertical="center" wrapText="1"/>
    </xf>
    <xf numFmtId="177" fontId="7" fillId="2" borderId="1" xfId="0" applyNumberFormat="1" applyFont="1" applyFill="1" applyBorder="1" applyAlignment="1" applyProtection="1">
      <alignment horizontal="center" wrapText="1"/>
    </xf>
    <xf numFmtId="0" fontId="13" fillId="2" borderId="1" xfId="0" applyNumberFormat="1" applyFont="1" applyFill="1" applyBorder="1" applyAlignment="1" applyProtection="1">
      <alignment horizontal="left" vertical="center" wrapText="1"/>
    </xf>
    <xf numFmtId="0" fontId="10" fillId="2" borderId="3" xfId="0" applyNumberFormat="1" applyFont="1" applyFill="1" applyBorder="1" applyAlignment="1" applyProtection="1">
      <alignment horizontal="center" vertical="center" wrapText="1"/>
    </xf>
    <xf numFmtId="0" fontId="15" fillId="2" borderId="1" xfId="0" applyNumberFormat="1" applyFont="1" applyFill="1" applyBorder="1" applyAlignment="1" applyProtection="1">
      <alignment horizontal="left" vertical="center" wrapText="1"/>
    </xf>
    <xf numFmtId="0" fontId="5" fillId="2" borderId="1" xfId="0" applyFont="1" applyFill="1" applyBorder="1" applyAlignment="1">
      <alignment horizontal="center" vertical="center"/>
    </xf>
    <xf numFmtId="177" fontId="6" fillId="2" borderId="1" xfId="0" applyNumberFormat="1" applyFont="1" applyFill="1" applyBorder="1" applyAlignment="1">
      <alignment horizontal="center" wrapText="1"/>
    </xf>
    <xf numFmtId="177" fontId="13" fillId="2" borderId="1" xfId="0" applyNumberFormat="1" applyFont="1" applyFill="1" applyBorder="1" applyAlignment="1">
      <alignment horizontal="right" wrapText="1"/>
    </xf>
    <xf numFmtId="177" fontId="6" fillId="2" borderId="1" xfId="0" applyNumberFormat="1" applyFont="1" applyFill="1" applyBorder="1" applyAlignment="1">
      <alignment horizontal="right"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vertical="center"/>
    </xf>
    <xf numFmtId="0" fontId="4" fillId="2" borderId="0" xfId="0" applyFont="1" applyFill="1" applyAlignment="1">
      <alignment horizontal="center" vertical="center"/>
    </xf>
    <xf numFmtId="0" fontId="14" fillId="2" borderId="0" xfId="0" applyNumberFormat="1" applyFont="1" applyFill="1" applyAlignment="1" applyProtection="1">
      <alignment horizontal="center" vertical="center" wrapText="1"/>
    </xf>
    <xf numFmtId="177" fontId="7" fillId="2" borderId="0" xfId="0" applyNumberFormat="1" applyFont="1" applyFill="1" applyAlignment="1" applyProtection="1">
      <alignment horizontal="center" vertical="center" wrapText="1"/>
    </xf>
    <xf numFmtId="177" fontId="5" fillId="2" borderId="0" xfId="0" applyNumberFormat="1" applyFont="1" applyFill="1" applyAlignment="1" applyProtection="1">
      <alignment horizontal="center" vertical="center" wrapText="1"/>
    </xf>
    <xf numFmtId="14" fontId="14" fillId="2" borderId="0" xfId="0" applyNumberFormat="1" applyFont="1" applyFill="1" applyAlignment="1" applyProtection="1">
      <alignment horizontal="center" vertical="center"/>
    </xf>
    <xf numFmtId="178" fontId="7" fillId="2" borderId="0" xfId="0" applyNumberFormat="1" applyFont="1" applyFill="1" applyAlignment="1" applyProtection="1">
      <alignment horizontal="right" vertical="center" wrapText="1"/>
    </xf>
    <xf numFmtId="178" fontId="11" fillId="2" borderId="0" xfId="0" applyNumberFormat="1" applyFont="1" applyFill="1" applyAlignment="1" applyProtection="1">
      <alignment horizontal="right" vertical="center" wrapText="1"/>
    </xf>
    <xf numFmtId="0" fontId="5" fillId="2" borderId="0" xfId="0" applyFont="1" applyFill="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177" fontId="4" fillId="2" borderId="0" xfId="0" applyNumberFormat="1" applyFont="1" applyFill="1" applyAlignment="1">
      <alignment horizontal="center" wrapText="1"/>
    </xf>
    <xf numFmtId="177" fontId="7" fillId="2" borderId="0" xfId="0" applyNumberFormat="1" applyFont="1" applyFill="1" applyAlignment="1">
      <alignment horizontal="right" wrapText="1"/>
    </xf>
    <xf numFmtId="177" fontId="4" fillId="2" borderId="0" xfId="0" applyNumberFormat="1" applyFont="1" applyFill="1" applyAlignment="1">
      <alignment horizontal="right" wrapText="1"/>
    </xf>
    <xf numFmtId="177" fontId="1" fillId="2" borderId="0" xfId="0" applyNumberFormat="1" applyFont="1" applyFill="1" applyAlignment="1">
      <alignment horizontal="right" vertical="center" wrapText="1"/>
    </xf>
    <xf numFmtId="176" fontId="1" fillId="2" borderId="0" xfId="0" applyNumberFormat="1" applyFont="1" applyFill="1" applyAlignment="1">
      <alignment horizontal="right" vertical="center" wrapText="1"/>
    </xf>
    <xf numFmtId="178" fontId="11" fillId="2" borderId="0" xfId="0" applyNumberFormat="1" applyFont="1" applyFill="1" applyAlignment="1">
      <alignment horizontal="right" vertical="center" wrapText="1"/>
    </xf>
    <xf numFmtId="178" fontId="10" fillId="2" borderId="0" xfId="0" applyNumberFormat="1" applyFont="1" applyFill="1" applyAlignment="1" applyProtection="1">
      <alignment horizontal="right" vertical="center" wrapText="1"/>
    </xf>
    <xf numFmtId="0" fontId="5" fillId="2" borderId="0" xfId="0" applyFont="1" applyFill="1" applyAlignment="1">
      <alignment horizontal="right" vertical="center"/>
    </xf>
    <xf numFmtId="0" fontId="1" fillId="2" borderId="0" xfId="0" applyFont="1" applyFill="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常规 51" xfId="33"/>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7" xfId="50"/>
  </cellStyles>
  <tableStyles count="0" defaultTableStyle="TableStyleMedium2" defaultPivotStyle="PivotStyleLight16"/>
  <colors>
    <mruColors>
      <color rgb="00FFFF00"/>
      <color rgb="0092D050"/>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P150"/>
  <sheetViews>
    <sheetView showZeros="0" tabSelected="1" workbookViewId="0">
      <pane ySplit="4" topLeftCell="A47" activePane="bottomLeft" state="frozen"/>
      <selection/>
      <selection pane="bottomLeft" activeCell="B55" sqref="B55"/>
    </sheetView>
  </sheetViews>
  <sheetFormatPr defaultColWidth="9" defaultRowHeight="11.25"/>
  <cols>
    <col min="1" max="1" width="3.75" style="9" customWidth="1"/>
    <col min="2" max="2" width="17.75" style="10" customWidth="1"/>
    <col min="3" max="3" width="37.6333333333333" style="11" customWidth="1"/>
    <col min="4" max="4" width="8.88333333333333" style="12" customWidth="1"/>
    <col min="5" max="5" width="9.5" style="13" customWidth="1"/>
    <col min="6" max="6" width="11.3833333333333" style="14" customWidth="1"/>
    <col min="7" max="7" width="17.5" style="15" customWidth="1"/>
    <col min="8" max="8" width="11.3833333333333" style="16" customWidth="1"/>
    <col min="9" max="11" width="9.66666666666667" style="16" customWidth="1"/>
    <col min="12" max="12" width="15.6333333333333" style="17" customWidth="1"/>
    <col min="13" max="13" width="16.25" style="18" customWidth="1"/>
    <col min="14" max="15" width="15.6333333333333" style="18" customWidth="1"/>
    <col min="16" max="16384" width="9" style="18"/>
  </cols>
  <sheetData>
    <row r="1" s="1" customFormat="1" ht="55.5" customHeight="1" spans="1:15">
      <c r="A1" s="19" t="s">
        <v>0</v>
      </c>
      <c r="B1" s="19"/>
      <c r="C1" s="19"/>
      <c r="D1" s="19"/>
      <c r="E1" s="19"/>
      <c r="F1" s="19"/>
      <c r="G1" s="19"/>
      <c r="H1" s="19"/>
      <c r="I1" s="19"/>
      <c r="J1" s="19"/>
      <c r="K1" s="19"/>
      <c r="L1" s="19"/>
      <c r="M1" s="19"/>
      <c r="N1" s="19"/>
      <c r="O1" s="19"/>
    </row>
    <row r="2" s="1" customFormat="1" ht="30.75" customHeight="1" spans="1:15">
      <c r="A2" s="20" t="s">
        <v>1</v>
      </c>
      <c r="B2" s="20"/>
      <c r="C2" s="20"/>
      <c r="D2" s="20"/>
      <c r="E2" s="20"/>
      <c r="F2" s="20"/>
      <c r="G2" s="20"/>
      <c r="H2" s="20"/>
      <c r="I2" s="20"/>
      <c r="J2" s="20"/>
      <c r="K2" s="20"/>
      <c r="L2" s="20"/>
      <c r="M2" s="20"/>
      <c r="N2" s="20"/>
      <c r="O2" s="20"/>
    </row>
    <row r="3" s="2" customFormat="1" ht="35.25" customHeight="1" spans="1:15">
      <c r="A3" s="21" t="s">
        <v>2</v>
      </c>
      <c r="B3" s="22" t="s">
        <v>3</v>
      </c>
      <c r="C3" s="22" t="s">
        <v>4</v>
      </c>
      <c r="D3" s="23" t="s">
        <v>5</v>
      </c>
      <c r="E3" s="23" t="s">
        <v>6</v>
      </c>
      <c r="F3" s="22" t="s">
        <v>7</v>
      </c>
      <c r="G3" s="23" t="s">
        <v>8</v>
      </c>
      <c r="H3" s="23" t="s">
        <v>9</v>
      </c>
      <c r="I3" s="72" t="s">
        <v>10</v>
      </c>
      <c r="J3" s="72" t="s">
        <v>11</v>
      </c>
      <c r="K3" s="72" t="s">
        <v>12</v>
      </c>
      <c r="L3" s="22" t="s">
        <v>13</v>
      </c>
      <c r="M3" s="22"/>
      <c r="N3" s="22"/>
      <c r="O3" s="22"/>
    </row>
    <row r="4" s="2" customFormat="1" ht="27" customHeight="1" spans="1:15">
      <c r="A4" s="21"/>
      <c r="B4" s="22"/>
      <c r="C4" s="22"/>
      <c r="D4" s="23"/>
      <c r="E4" s="23"/>
      <c r="F4" s="22"/>
      <c r="G4" s="23"/>
      <c r="H4" s="23"/>
      <c r="I4" s="72"/>
      <c r="J4" s="72"/>
      <c r="K4" s="72"/>
      <c r="L4" s="72" t="s">
        <v>14</v>
      </c>
      <c r="M4" s="21" t="s">
        <v>15</v>
      </c>
      <c r="N4" s="21" t="s">
        <v>16</v>
      </c>
      <c r="O4" s="21" t="s">
        <v>17</v>
      </c>
    </row>
    <row r="5" s="3" customFormat="1" ht="25.9" customHeight="1" spans="1:15">
      <c r="A5" s="24" t="s">
        <v>18</v>
      </c>
      <c r="B5" s="25"/>
      <c r="C5" s="25"/>
      <c r="D5" s="25"/>
      <c r="E5" s="25"/>
      <c r="F5" s="26"/>
      <c r="G5" s="27">
        <f>G6+G123</f>
        <v>15611680000</v>
      </c>
      <c r="H5" s="27"/>
      <c r="I5" s="27"/>
      <c r="J5" s="27"/>
      <c r="K5" s="27"/>
      <c r="L5" s="27">
        <f>L6+L123</f>
        <v>519739309.6662</v>
      </c>
      <c r="M5" s="27">
        <f>M6+M123</f>
        <v>0</v>
      </c>
      <c r="N5" s="27">
        <f>N6+N123</f>
        <v>519713324</v>
      </c>
      <c r="O5" s="27">
        <f>O6+O123</f>
        <v>25985.6662</v>
      </c>
    </row>
    <row r="6" s="4" customFormat="1" ht="31" customHeight="1" spans="1:16">
      <c r="A6" s="28" t="s">
        <v>19</v>
      </c>
      <c r="B6" s="29"/>
      <c r="C6" s="29"/>
      <c r="D6" s="29"/>
      <c r="E6" s="29"/>
      <c r="F6" s="30"/>
      <c r="G6" s="31">
        <f>G7+G15+G29+G33+G39+G43+G47+G52+G61+G84+G87+G92+G98+G102+G111+G115+G118</f>
        <v>7904720000</v>
      </c>
      <c r="H6" s="31"/>
      <c r="I6" s="31"/>
      <c r="J6" s="31"/>
      <c r="K6" s="31"/>
      <c r="L6" s="31">
        <f>L7+L15+L29+L33+L39+L43+L47+L52+L61+L84+L87+L92+L98+L102+L111+L115+L118</f>
        <v>280529345.766</v>
      </c>
      <c r="M6" s="31">
        <f>M7+M15+M29+M33+M39+M43+M47+M52+M61+M84+M87+M92+M98+M102+M111+M115+M118</f>
        <v>0</v>
      </c>
      <c r="N6" s="31">
        <f>N7+N15+N29+N33+N39+N43+N47+N52+N61+N84+N87+N92+N98+N102+N111+N115+N118</f>
        <v>280515320</v>
      </c>
      <c r="O6" s="31">
        <f>O7+O15+O29+O33+O39+O43+O47+O52+O61+O84+O87+O92+O98+O102+O111+O115+O118</f>
        <v>14025.766</v>
      </c>
      <c r="P6" s="73">
        <f>P7+P15+P29+P33+P39+P43+P47+P52+P61+P84+P87+P92+P98+P102+P111+P115</f>
        <v>0</v>
      </c>
    </row>
    <row r="7" s="5" customFormat="1" ht="28.9" customHeight="1" spans="1:15">
      <c r="A7" s="32"/>
      <c r="B7" s="33" t="s">
        <v>20</v>
      </c>
      <c r="C7" s="34"/>
      <c r="D7" s="35" t="s">
        <v>21</v>
      </c>
      <c r="E7" s="36" t="s">
        <v>22</v>
      </c>
      <c r="F7" s="37">
        <v>45846</v>
      </c>
      <c r="G7" s="38">
        <f>SUM(G8:G14)</f>
        <v>24360000</v>
      </c>
      <c r="H7" s="39">
        <v>3.58</v>
      </c>
      <c r="I7" s="74">
        <v>1</v>
      </c>
      <c r="J7" s="74">
        <v>0.1</v>
      </c>
      <c r="K7" s="75">
        <v>0.05</v>
      </c>
      <c r="L7" s="76">
        <f>SUM(L8:L14)</f>
        <v>872131.6044</v>
      </c>
      <c r="M7" s="76">
        <f>SUM(M8:M14)</f>
        <v>0</v>
      </c>
      <c r="N7" s="76">
        <f>SUM(N8:N14)</f>
        <v>872088</v>
      </c>
      <c r="O7" s="76">
        <f>SUM(O8:O14)</f>
        <v>43.6044</v>
      </c>
    </row>
    <row r="8" s="5" customFormat="1" ht="28.9" customHeight="1" spans="1:15">
      <c r="A8" s="32">
        <v>1</v>
      </c>
      <c r="B8" s="40" t="s">
        <v>23</v>
      </c>
      <c r="C8" s="41" t="s">
        <v>24</v>
      </c>
      <c r="D8" s="42"/>
      <c r="E8" s="43"/>
      <c r="F8" s="44"/>
      <c r="G8" s="45">
        <v>12600000</v>
      </c>
      <c r="H8" s="45"/>
      <c r="I8" s="45"/>
      <c r="J8" s="45"/>
      <c r="K8" s="45"/>
      <c r="L8" s="45">
        <f t="shared" ref="L8:L14" si="0">SUM(M8:O8)</f>
        <v>451102.554</v>
      </c>
      <c r="M8" s="45"/>
      <c r="N8" s="45">
        <f t="shared" ref="N8:N14" si="1">G8*0.0358</f>
        <v>451080</v>
      </c>
      <c r="O8" s="45">
        <f t="shared" ref="O8:O14" si="2">(M8+N8)*0.00005</f>
        <v>22.554</v>
      </c>
    </row>
    <row r="9" s="5" customFormat="1" ht="28.9" customHeight="1" spans="1:15">
      <c r="A9" s="32">
        <v>2</v>
      </c>
      <c r="B9" s="40" t="s">
        <v>23</v>
      </c>
      <c r="C9" s="41" t="s">
        <v>25</v>
      </c>
      <c r="D9" s="42"/>
      <c r="E9" s="43"/>
      <c r="F9" s="44"/>
      <c r="G9" s="45">
        <v>5700000</v>
      </c>
      <c r="H9" s="45"/>
      <c r="I9" s="45"/>
      <c r="J9" s="45"/>
      <c r="K9" s="45"/>
      <c r="L9" s="45">
        <f t="shared" si="0"/>
        <v>204070.203</v>
      </c>
      <c r="M9" s="45"/>
      <c r="N9" s="45">
        <f t="shared" si="1"/>
        <v>204060</v>
      </c>
      <c r="O9" s="45">
        <f t="shared" si="2"/>
        <v>10.203</v>
      </c>
    </row>
    <row r="10" s="5" customFormat="1" ht="28.9" customHeight="1" spans="1:15">
      <c r="A10" s="32">
        <v>3</v>
      </c>
      <c r="B10" s="40" t="s">
        <v>26</v>
      </c>
      <c r="C10" s="41" t="s">
        <v>27</v>
      </c>
      <c r="D10" s="42"/>
      <c r="E10" s="43"/>
      <c r="F10" s="44"/>
      <c r="G10" s="45">
        <v>2229365.81</v>
      </c>
      <c r="H10" s="45"/>
      <c r="I10" s="45"/>
      <c r="J10" s="45"/>
      <c r="K10" s="45"/>
      <c r="L10" s="45">
        <f t="shared" si="0"/>
        <v>79815.2865627999</v>
      </c>
      <c r="M10" s="45"/>
      <c r="N10" s="45">
        <f t="shared" si="1"/>
        <v>79811.295998</v>
      </c>
      <c r="O10" s="45">
        <f t="shared" si="2"/>
        <v>3.9905647999</v>
      </c>
    </row>
    <row r="11" s="5" customFormat="1" ht="28.9" customHeight="1" spans="1:15">
      <c r="A11" s="32">
        <v>4</v>
      </c>
      <c r="B11" s="40" t="s">
        <v>28</v>
      </c>
      <c r="C11" s="41" t="s">
        <v>29</v>
      </c>
      <c r="D11" s="42"/>
      <c r="E11" s="43"/>
      <c r="F11" s="44"/>
      <c r="G11" s="45">
        <v>20634.19</v>
      </c>
      <c r="H11" s="45"/>
      <c r="I11" s="45"/>
      <c r="J11" s="45"/>
      <c r="K11" s="45"/>
      <c r="L11" s="45">
        <f t="shared" si="0"/>
        <v>738.7409372001</v>
      </c>
      <c r="M11" s="45"/>
      <c r="N11" s="45">
        <f t="shared" si="1"/>
        <v>738.704002</v>
      </c>
      <c r="O11" s="45">
        <f t="shared" si="2"/>
        <v>0.0369352001</v>
      </c>
    </row>
    <row r="12" s="5" customFormat="1" ht="28.9" customHeight="1" spans="1:15">
      <c r="A12" s="32">
        <v>5</v>
      </c>
      <c r="B12" s="40" t="s">
        <v>28</v>
      </c>
      <c r="C12" s="41" t="s">
        <v>29</v>
      </c>
      <c r="D12" s="42"/>
      <c r="E12" s="43"/>
      <c r="F12" s="44"/>
      <c r="G12" s="45">
        <v>150000</v>
      </c>
      <c r="H12" s="45"/>
      <c r="I12" s="45"/>
      <c r="J12" s="45"/>
      <c r="K12" s="45"/>
      <c r="L12" s="45">
        <f t="shared" si="0"/>
        <v>5370.2685</v>
      </c>
      <c r="M12" s="45"/>
      <c r="N12" s="45">
        <f t="shared" si="1"/>
        <v>5370</v>
      </c>
      <c r="O12" s="45">
        <f t="shared" si="2"/>
        <v>0.2685</v>
      </c>
    </row>
    <row r="13" s="5" customFormat="1" ht="28.9" customHeight="1" spans="1:15">
      <c r="A13" s="32">
        <v>6</v>
      </c>
      <c r="B13" s="40" t="s">
        <v>30</v>
      </c>
      <c r="C13" s="41" t="s">
        <v>31</v>
      </c>
      <c r="D13" s="42"/>
      <c r="E13" s="43"/>
      <c r="F13" s="44"/>
      <c r="G13" s="45">
        <v>3160000</v>
      </c>
      <c r="H13" s="45"/>
      <c r="I13" s="45"/>
      <c r="J13" s="45"/>
      <c r="K13" s="45"/>
      <c r="L13" s="45">
        <f t="shared" si="0"/>
        <v>113133.6564</v>
      </c>
      <c r="M13" s="45"/>
      <c r="N13" s="45">
        <f t="shared" si="1"/>
        <v>113128</v>
      </c>
      <c r="O13" s="45">
        <f t="shared" si="2"/>
        <v>5.6564</v>
      </c>
    </row>
    <row r="14" s="5" customFormat="1" ht="28.9" customHeight="1" spans="1:15">
      <c r="A14" s="32">
        <v>7</v>
      </c>
      <c r="B14" s="40" t="s">
        <v>32</v>
      </c>
      <c r="C14" s="41" t="s">
        <v>33</v>
      </c>
      <c r="D14" s="42"/>
      <c r="E14" s="43"/>
      <c r="F14" s="44"/>
      <c r="G14" s="45">
        <v>500000</v>
      </c>
      <c r="H14" s="45"/>
      <c r="I14" s="45"/>
      <c r="J14" s="45"/>
      <c r="K14" s="45"/>
      <c r="L14" s="45">
        <f t="shared" si="0"/>
        <v>17900.895</v>
      </c>
      <c r="M14" s="45"/>
      <c r="N14" s="45">
        <f t="shared" si="1"/>
        <v>17900</v>
      </c>
      <c r="O14" s="45">
        <f t="shared" si="2"/>
        <v>0.895</v>
      </c>
    </row>
    <row r="15" s="6" customFormat="1" ht="28.9" customHeight="1" spans="1:15">
      <c r="A15" s="32"/>
      <c r="B15" s="33" t="s">
        <v>34</v>
      </c>
      <c r="C15" s="34"/>
      <c r="D15" s="35" t="s">
        <v>35</v>
      </c>
      <c r="E15" s="36" t="s">
        <v>36</v>
      </c>
      <c r="F15" s="37">
        <v>44885</v>
      </c>
      <c r="G15" s="38">
        <f>SUM(G16:G28)</f>
        <v>103360000</v>
      </c>
      <c r="H15" s="38">
        <v>3.24</v>
      </c>
      <c r="I15" s="38">
        <v>1</v>
      </c>
      <c r="J15" s="38">
        <v>0.1</v>
      </c>
      <c r="K15" s="38">
        <v>0.05</v>
      </c>
      <c r="L15" s="38">
        <f>SUM(L16:L28)</f>
        <v>3349031.4432</v>
      </c>
      <c r="M15" s="38">
        <f>SUM(M16:M28)</f>
        <v>0</v>
      </c>
      <c r="N15" s="38">
        <f>SUM(N16:N28)</f>
        <v>3348864</v>
      </c>
      <c r="O15" s="38">
        <f>SUM(O16:O28)</f>
        <v>167.4432</v>
      </c>
    </row>
    <row r="16" s="5" customFormat="1" ht="28.9" customHeight="1" spans="1:15">
      <c r="A16" s="46" t="s">
        <v>37</v>
      </c>
      <c r="B16" s="40" t="s">
        <v>26</v>
      </c>
      <c r="C16" s="47" t="s">
        <v>38</v>
      </c>
      <c r="D16" s="48"/>
      <c r="E16" s="43"/>
      <c r="F16" s="44"/>
      <c r="G16" s="45">
        <v>19518500</v>
      </c>
      <c r="H16" s="45"/>
      <c r="I16" s="45"/>
      <c r="J16" s="45"/>
      <c r="K16" s="45"/>
      <c r="L16" s="45">
        <f t="shared" ref="L16:L28" si="3">M16+N16+O16</f>
        <v>632431.01997</v>
      </c>
      <c r="M16" s="45"/>
      <c r="N16" s="45">
        <f t="shared" ref="N16:N28" si="4">G16*0.0324</f>
        <v>632399.4</v>
      </c>
      <c r="O16" s="45">
        <f t="shared" ref="O16:O28" si="5">(M16+N16)*0.00005</f>
        <v>31.61997</v>
      </c>
    </row>
    <row r="17" s="5" customFormat="1" ht="28.9" customHeight="1" spans="1:15">
      <c r="A17" s="46" t="s">
        <v>39</v>
      </c>
      <c r="B17" s="40" t="s">
        <v>26</v>
      </c>
      <c r="C17" s="47" t="s">
        <v>40</v>
      </c>
      <c r="D17" s="48"/>
      <c r="E17" s="43"/>
      <c r="F17" s="44"/>
      <c r="G17" s="45">
        <v>18590900</v>
      </c>
      <c r="H17" s="45"/>
      <c r="I17" s="45"/>
      <c r="J17" s="45"/>
      <c r="K17" s="45"/>
      <c r="L17" s="45">
        <f t="shared" si="3"/>
        <v>602375.277258</v>
      </c>
      <c r="M17" s="45"/>
      <c r="N17" s="45">
        <f t="shared" si="4"/>
        <v>602345.16</v>
      </c>
      <c r="O17" s="45">
        <f t="shared" si="5"/>
        <v>30.117258</v>
      </c>
    </row>
    <row r="18" s="5" customFormat="1" ht="28.9" customHeight="1" spans="1:15">
      <c r="A18" s="46" t="s">
        <v>41</v>
      </c>
      <c r="B18" s="49" t="s">
        <v>42</v>
      </c>
      <c r="C18" s="47" t="s">
        <v>43</v>
      </c>
      <c r="D18" s="48"/>
      <c r="E18" s="43"/>
      <c r="F18" s="44"/>
      <c r="G18" s="45">
        <v>11430000</v>
      </c>
      <c r="H18" s="45"/>
      <c r="I18" s="45"/>
      <c r="J18" s="45"/>
      <c r="K18" s="45"/>
      <c r="L18" s="45">
        <f t="shared" si="3"/>
        <v>370350.5166</v>
      </c>
      <c r="M18" s="45"/>
      <c r="N18" s="45">
        <f t="shared" si="4"/>
        <v>370332</v>
      </c>
      <c r="O18" s="45">
        <f t="shared" si="5"/>
        <v>18.5166</v>
      </c>
    </row>
    <row r="19" s="5" customFormat="1" ht="42" customHeight="1" spans="1:15">
      <c r="A19" s="46" t="s">
        <v>44</v>
      </c>
      <c r="B19" s="49" t="s">
        <v>45</v>
      </c>
      <c r="C19" s="47" t="s">
        <v>46</v>
      </c>
      <c r="D19" s="48"/>
      <c r="E19" s="43"/>
      <c r="F19" s="44"/>
      <c r="G19" s="45">
        <v>4829400</v>
      </c>
      <c r="H19" s="45"/>
      <c r="I19" s="45"/>
      <c r="J19" s="45"/>
      <c r="K19" s="45"/>
      <c r="L19" s="45">
        <f t="shared" si="3"/>
        <v>156480.383628</v>
      </c>
      <c r="M19" s="45"/>
      <c r="N19" s="45">
        <f t="shared" si="4"/>
        <v>156472.56</v>
      </c>
      <c r="O19" s="45">
        <f t="shared" si="5"/>
        <v>7.823628</v>
      </c>
    </row>
    <row r="20" s="5" customFormat="1" ht="28.9" customHeight="1" spans="1:15">
      <c r="A20" s="46" t="s">
        <v>47</v>
      </c>
      <c r="B20" s="49" t="s">
        <v>45</v>
      </c>
      <c r="C20" s="47" t="s">
        <v>48</v>
      </c>
      <c r="D20" s="48"/>
      <c r="E20" s="43"/>
      <c r="F20" s="44"/>
      <c r="G20" s="45">
        <v>33000000</v>
      </c>
      <c r="H20" s="45"/>
      <c r="I20" s="45"/>
      <c r="J20" s="45"/>
      <c r="K20" s="45"/>
      <c r="L20" s="45">
        <f t="shared" si="3"/>
        <v>1069253.46</v>
      </c>
      <c r="M20" s="45"/>
      <c r="N20" s="45">
        <f t="shared" si="4"/>
        <v>1069200</v>
      </c>
      <c r="O20" s="45">
        <f t="shared" si="5"/>
        <v>53.46</v>
      </c>
    </row>
    <row r="21" s="5" customFormat="1" ht="28.9" customHeight="1" spans="1:15">
      <c r="A21" s="46" t="s">
        <v>49</v>
      </c>
      <c r="B21" s="49" t="s">
        <v>50</v>
      </c>
      <c r="C21" s="47" t="s">
        <v>51</v>
      </c>
      <c r="D21" s="48"/>
      <c r="E21" s="43"/>
      <c r="F21" s="44"/>
      <c r="G21" s="45">
        <v>3166500</v>
      </c>
      <c r="H21" s="45"/>
      <c r="I21" s="45"/>
      <c r="J21" s="45"/>
      <c r="K21" s="45"/>
      <c r="L21" s="45">
        <f t="shared" si="3"/>
        <v>102599.72973</v>
      </c>
      <c r="M21" s="45"/>
      <c r="N21" s="45">
        <f t="shared" si="4"/>
        <v>102594.6</v>
      </c>
      <c r="O21" s="45">
        <f t="shared" si="5"/>
        <v>5.12973</v>
      </c>
    </row>
    <row r="22" s="5" customFormat="1" ht="28.9" customHeight="1" spans="1:15">
      <c r="A22" s="46" t="s">
        <v>52</v>
      </c>
      <c r="B22" s="49" t="s">
        <v>53</v>
      </c>
      <c r="C22" s="47" t="s">
        <v>54</v>
      </c>
      <c r="D22" s="48"/>
      <c r="E22" s="43"/>
      <c r="F22" s="44"/>
      <c r="G22" s="45">
        <v>750000</v>
      </c>
      <c r="H22" s="45"/>
      <c r="I22" s="45"/>
      <c r="J22" s="45"/>
      <c r="K22" s="45"/>
      <c r="L22" s="45">
        <f t="shared" si="3"/>
        <v>24301.215</v>
      </c>
      <c r="M22" s="45"/>
      <c r="N22" s="45">
        <f t="shared" si="4"/>
        <v>24300</v>
      </c>
      <c r="O22" s="45">
        <f t="shared" si="5"/>
        <v>1.215</v>
      </c>
    </row>
    <row r="23" s="5" customFormat="1" ht="28.9" customHeight="1" spans="1:15">
      <c r="A23" s="46" t="s">
        <v>55</v>
      </c>
      <c r="B23" s="49" t="s">
        <v>56</v>
      </c>
      <c r="C23" s="47" t="s">
        <v>57</v>
      </c>
      <c r="D23" s="48"/>
      <c r="E23" s="43"/>
      <c r="F23" s="44"/>
      <c r="G23" s="45">
        <v>600000</v>
      </c>
      <c r="H23" s="45"/>
      <c r="I23" s="45"/>
      <c r="J23" s="45"/>
      <c r="K23" s="45"/>
      <c r="L23" s="45">
        <f t="shared" si="3"/>
        <v>19440.972</v>
      </c>
      <c r="M23" s="45"/>
      <c r="N23" s="45">
        <f t="shared" si="4"/>
        <v>19440</v>
      </c>
      <c r="O23" s="45">
        <f t="shared" si="5"/>
        <v>0.972</v>
      </c>
    </row>
    <row r="24" s="5" customFormat="1" ht="28.9" customHeight="1" spans="1:15">
      <c r="A24" s="46" t="s">
        <v>58</v>
      </c>
      <c r="B24" s="49" t="s">
        <v>56</v>
      </c>
      <c r="C24" s="47" t="s">
        <v>59</v>
      </c>
      <c r="D24" s="48"/>
      <c r="E24" s="43"/>
      <c r="F24" s="44"/>
      <c r="G24" s="45">
        <v>3300000</v>
      </c>
      <c r="H24" s="45"/>
      <c r="I24" s="45"/>
      <c r="J24" s="45"/>
      <c r="K24" s="45"/>
      <c r="L24" s="45">
        <f t="shared" si="3"/>
        <v>106925.346</v>
      </c>
      <c r="M24" s="45"/>
      <c r="N24" s="45">
        <f t="shared" si="4"/>
        <v>106920</v>
      </c>
      <c r="O24" s="45">
        <f t="shared" si="5"/>
        <v>5.346</v>
      </c>
    </row>
    <row r="25" s="5" customFormat="1" ht="28.9" customHeight="1" spans="1:15">
      <c r="A25" s="46" t="s">
        <v>60</v>
      </c>
      <c r="B25" s="49" t="s">
        <v>56</v>
      </c>
      <c r="C25" s="47" t="s">
        <v>61</v>
      </c>
      <c r="D25" s="48"/>
      <c r="E25" s="43"/>
      <c r="F25" s="44"/>
      <c r="G25" s="45">
        <v>4010000</v>
      </c>
      <c r="H25" s="45"/>
      <c r="I25" s="45"/>
      <c r="J25" s="45"/>
      <c r="K25" s="45"/>
      <c r="L25" s="45">
        <f t="shared" si="3"/>
        <v>129930.4962</v>
      </c>
      <c r="M25" s="45"/>
      <c r="N25" s="45">
        <f t="shared" si="4"/>
        <v>129924</v>
      </c>
      <c r="O25" s="45">
        <f t="shared" si="5"/>
        <v>6.4962</v>
      </c>
    </row>
    <row r="26" s="5" customFormat="1" ht="28.9" customHeight="1" spans="1:15">
      <c r="A26" s="46" t="s">
        <v>62</v>
      </c>
      <c r="B26" s="49" t="s">
        <v>63</v>
      </c>
      <c r="C26" s="47" t="s">
        <v>64</v>
      </c>
      <c r="D26" s="48"/>
      <c r="E26" s="43"/>
      <c r="F26" s="44"/>
      <c r="G26" s="45">
        <v>3310000</v>
      </c>
      <c r="H26" s="45"/>
      <c r="I26" s="45"/>
      <c r="J26" s="45"/>
      <c r="K26" s="45"/>
      <c r="L26" s="45">
        <f t="shared" si="3"/>
        <v>107249.3622</v>
      </c>
      <c r="M26" s="45"/>
      <c r="N26" s="45">
        <f t="shared" si="4"/>
        <v>107244</v>
      </c>
      <c r="O26" s="45">
        <f t="shared" si="5"/>
        <v>5.3622</v>
      </c>
    </row>
    <row r="27" s="5" customFormat="1" ht="28.9" customHeight="1" spans="1:15">
      <c r="A27" s="46" t="s">
        <v>65</v>
      </c>
      <c r="B27" s="49" t="s">
        <v>66</v>
      </c>
      <c r="C27" s="47" t="s">
        <v>67</v>
      </c>
      <c r="D27" s="48"/>
      <c r="E27" s="43"/>
      <c r="F27" s="44"/>
      <c r="G27" s="45">
        <v>852900</v>
      </c>
      <c r="H27" s="45"/>
      <c r="I27" s="45"/>
      <c r="J27" s="45"/>
      <c r="K27" s="45"/>
      <c r="L27" s="45">
        <f t="shared" si="3"/>
        <v>27635.341698</v>
      </c>
      <c r="M27" s="45"/>
      <c r="N27" s="45">
        <f t="shared" si="4"/>
        <v>27633.96</v>
      </c>
      <c r="O27" s="45">
        <f t="shared" si="5"/>
        <v>1.381698</v>
      </c>
    </row>
    <row r="28" s="5" customFormat="1" ht="28.9" customHeight="1" spans="1:15">
      <c r="A28" s="46" t="s">
        <v>68</v>
      </c>
      <c r="B28" s="49" t="s">
        <v>28</v>
      </c>
      <c r="C28" s="47" t="s">
        <v>69</v>
      </c>
      <c r="D28" s="48"/>
      <c r="E28" s="43"/>
      <c r="F28" s="44"/>
      <c r="G28" s="45">
        <v>1800</v>
      </c>
      <c r="H28" s="45"/>
      <c r="I28" s="45"/>
      <c r="J28" s="45"/>
      <c r="K28" s="45"/>
      <c r="L28" s="45">
        <f t="shared" si="3"/>
        <v>58.322916</v>
      </c>
      <c r="M28" s="45"/>
      <c r="N28" s="45">
        <f t="shared" si="4"/>
        <v>58.32</v>
      </c>
      <c r="O28" s="45">
        <f t="shared" si="5"/>
        <v>0.002916</v>
      </c>
    </row>
    <row r="29" s="6" customFormat="1" ht="28.9" customHeight="1" spans="1:15">
      <c r="A29" s="46"/>
      <c r="B29" s="33" t="s">
        <v>70</v>
      </c>
      <c r="C29" s="34"/>
      <c r="D29" s="50" t="s">
        <v>21</v>
      </c>
      <c r="E29" s="36" t="s">
        <v>22</v>
      </c>
      <c r="F29" s="37">
        <v>45869</v>
      </c>
      <c r="G29" s="38">
        <f>SUM(G30:G32)</f>
        <v>401350000</v>
      </c>
      <c r="H29" s="38">
        <v>4.01</v>
      </c>
      <c r="I29" s="38">
        <v>1</v>
      </c>
      <c r="J29" s="38">
        <v>0.1</v>
      </c>
      <c r="K29" s="38">
        <v>0.05</v>
      </c>
      <c r="L29" s="38">
        <f>SUM(L30:L32)</f>
        <v>16094939.70675</v>
      </c>
      <c r="M29" s="38">
        <f>SUM(M30:M32)</f>
        <v>0</v>
      </c>
      <c r="N29" s="38">
        <f>SUM(N30:N32)</f>
        <v>16094135</v>
      </c>
      <c r="O29" s="38">
        <f>SUM(O30:O32)</f>
        <v>804.70675</v>
      </c>
    </row>
    <row r="30" s="5" customFormat="1" ht="28.5" customHeight="1" spans="1:15">
      <c r="A30" s="46" t="s">
        <v>37</v>
      </c>
      <c r="B30" s="49" t="s">
        <v>23</v>
      </c>
      <c r="C30" s="47" t="s">
        <v>71</v>
      </c>
      <c r="D30" s="51"/>
      <c r="E30" s="52"/>
      <c r="F30" s="53"/>
      <c r="G30" s="45">
        <v>300000000</v>
      </c>
      <c r="H30" s="45"/>
      <c r="I30" s="45"/>
      <c r="J30" s="45"/>
      <c r="K30" s="45"/>
      <c r="L30" s="45">
        <f t="shared" ref="L30:L32" si="6">SUM(M30:O30)</f>
        <v>12030601.5</v>
      </c>
      <c r="M30" s="45"/>
      <c r="N30" s="45">
        <f t="shared" ref="N30:N32" si="7">G30*0.0401</f>
        <v>12030000</v>
      </c>
      <c r="O30" s="45">
        <f t="shared" ref="O30:O32" si="8">(M30+N30)*0.00005</f>
        <v>601.5</v>
      </c>
    </row>
    <row r="31" s="5" customFormat="1" ht="28.9" customHeight="1" spans="1:15">
      <c r="A31" s="46" t="s">
        <v>39</v>
      </c>
      <c r="B31" s="49" t="s">
        <v>23</v>
      </c>
      <c r="C31" s="47" t="s">
        <v>25</v>
      </c>
      <c r="D31" s="51"/>
      <c r="E31" s="52"/>
      <c r="F31" s="53"/>
      <c r="G31" s="45">
        <v>45600000</v>
      </c>
      <c r="H31" s="45"/>
      <c r="I31" s="45"/>
      <c r="J31" s="45"/>
      <c r="K31" s="45"/>
      <c r="L31" s="45">
        <f t="shared" si="6"/>
        <v>1828651.428</v>
      </c>
      <c r="M31" s="45"/>
      <c r="N31" s="45">
        <f t="shared" si="7"/>
        <v>1828560</v>
      </c>
      <c r="O31" s="45">
        <f t="shared" si="8"/>
        <v>91.428</v>
      </c>
    </row>
    <row r="32" s="5" customFormat="1" ht="28.9" customHeight="1" spans="1:15">
      <c r="A32" s="46" t="s">
        <v>41</v>
      </c>
      <c r="B32" s="49" t="s">
        <v>72</v>
      </c>
      <c r="C32" s="47" t="s">
        <v>73</v>
      </c>
      <c r="D32" s="51"/>
      <c r="E32" s="52"/>
      <c r="F32" s="53"/>
      <c r="G32" s="45">
        <v>55750000</v>
      </c>
      <c r="H32" s="45"/>
      <c r="I32" s="45"/>
      <c r="J32" s="45"/>
      <c r="K32" s="45"/>
      <c r="L32" s="45">
        <f t="shared" si="6"/>
        <v>2235686.77875</v>
      </c>
      <c r="M32" s="45"/>
      <c r="N32" s="45">
        <f t="shared" si="7"/>
        <v>2235575</v>
      </c>
      <c r="O32" s="45">
        <f t="shared" si="8"/>
        <v>111.77875</v>
      </c>
    </row>
    <row r="33" s="6" customFormat="1" ht="28.9" customHeight="1" spans="1:15">
      <c r="A33" s="32"/>
      <c r="B33" s="54" t="s">
        <v>74</v>
      </c>
      <c r="C33" s="55"/>
      <c r="D33" s="56" t="s">
        <v>21</v>
      </c>
      <c r="E33" s="36" t="s">
        <v>22</v>
      </c>
      <c r="F33" s="37">
        <v>45951</v>
      </c>
      <c r="G33" s="38">
        <f>SUM(G34:G38)</f>
        <v>639510000</v>
      </c>
      <c r="H33" s="38">
        <v>3.56</v>
      </c>
      <c r="I33" s="38">
        <v>1</v>
      </c>
      <c r="J33" s="38">
        <v>0.1</v>
      </c>
      <c r="K33" s="38">
        <v>0.05</v>
      </c>
      <c r="L33" s="38">
        <f>SUM(L34:L38)</f>
        <v>22767694.3278</v>
      </c>
      <c r="M33" s="38">
        <f>SUM(M34:M38)</f>
        <v>0</v>
      </c>
      <c r="N33" s="38">
        <f>SUM(N34:N38)</f>
        <v>22766556</v>
      </c>
      <c r="O33" s="38">
        <f>SUM(O34:O38)</f>
        <v>1138.3278</v>
      </c>
    </row>
    <row r="34" s="5" customFormat="1" ht="28.9" customHeight="1" spans="1:15">
      <c r="A34" s="32">
        <v>1</v>
      </c>
      <c r="B34" s="40" t="s">
        <v>23</v>
      </c>
      <c r="C34" s="41" t="s">
        <v>24</v>
      </c>
      <c r="D34" s="57"/>
      <c r="E34" s="52"/>
      <c r="F34" s="53"/>
      <c r="G34" s="45">
        <v>52160000</v>
      </c>
      <c r="H34" s="45"/>
      <c r="I34" s="45"/>
      <c r="J34" s="45"/>
      <c r="K34" s="45"/>
      <c r="L34" s="45">
        <f t="shared" ref="L34:L38" si="9">SUM(M34:O34)</f>
        <v>1856988.8448</v>
      </c>
      <c r="M34" s="45"/>
      <c r="N34" s="45">
        <f t="shared" ref="N34:N38" si="10">G34*0.0356</f>
        <v>1856896</v>
      </c>
      <c r="O34" s="45">
        <f t="shared" ref="O34:O38" si="11">(M34+N34)*0.00005</f>
        <v>92.8448</v>
      </c>
    </row>
    <row r="35" s="5" customFormat="1" ht="28.9" customHeight="1" spans="1:15">
      <c r="A35" s="32">
        <v>2</v>
      </c>
      <c r="B35" s="40" t="s">
        <v>23</v>
      </c>
      <c r="C35" s="41" t="s">
        <v>75</v>
      </c>
      <c r="D35" s="57"/>
      <c r="E35" s="52"/>
      <c r="F35" s="53"/>
      <c r="G35" s="45">
        <v>225500000</v>
      </c>
      <c r="H35" s="45"/>
      <c r="I35" s="45"/>
      <c r="J35" s="45"/>
      <c r="K35" s="45"/>
      <c r="L35" s="45">
        <f t="shared" si="9"/>
        <v>8028201.39</v>
      </c>
      <c r="M35" s="45"/>
      <c r="N35" s="45">
        <f t="shared" si="10"/>
        <v>8027800</v>
      </c>
      <c r="O35" s="45">
        <f t="shared" si="11"/>
        <v>401.39</v>
      </c>
    </row>
    <row r="36" s="5" customFormat="1" ht="28.9" customHeight="1" spans="1:15">
      <c r="A36" s="32">
        <v>3</v>
      </c>
      <c r="B36" s="40" t="s">
        <v>23</v>
      </c>
      <c r="C36" s="41" t="s">
        <v>25</v>
      </c>
      <c r="D36" s="57"/>
      <c r="E36" s="52"/>
      <c r="F36" s="53"/>
      <c r="G36" s="45">
        <v>35700000</v>
      </c>
      <c r="H36" s="45"/>
      <c r="I36" s="45"/>
      <c r="J36" s="45"/>
      <c r="K36" s="45"/>
      <c r="L36" s="45">
        <f t="shared" si="9"/>
        <v>1270983.546</v>
      </c>
      <c r="M36" s="45"/>
      <c r="N36" s="45">
        <f t="shared" si="10"/>
        <v>1270920</v>
      </c>
      <c r="O36" s="45">
        <f t="shared" si="11"/>
        <v>63.546</v>
      </c>
    </row>
    <row r="37" s="5" customFormat="1" ht="28.9" customHeight="1" spans="1:15">
      <c r="A37" s="32">
        <v>4</v>
      </c>
      <c r="B37" s="40" t="s">
        <v>23</v>
      </c>
      <c r="C37" s="41" t="s">
        <v>76</v>
      </c>
      <c r="D37" s="57"/>
      <c r="E37" s="52"/>
      <c r="F37" s="53"/>
      <c r="G37" s="45">
        <v>112500000</v>
      </c>
      <c r="H37" s="45"/>
      <c r="I37" s="45"/>
      <c r="J37" s="45"/>
      <c r="K37" s="45"/>
      <c r="L37" s="45">
        <f t="shared" si="9"/>
        <v>4005200.25</v>
      </c>
      <c r="M37" s="45"/>
      <c r="N37" s="45">
        <f t="shared" si="10"/>
        <v>4005000</v>
      </c>
      <c r="O37" s="45">
        <f t="shared" si="11"/>
        <v>200.25</v>
      </c>
    </row>
    <row r="38" s="5" customFormat="1" ht="28.9" customHeight="1" spans="1:15">
      <c r="A38" s="32">
        <v>5</v>
      </c>
      <c r="B38" s="40" t="s">
        <v>72</v>
      </c>
      <c r="C38" s="41" t="s">
        <v>73</v>
      </c>
      <c r="D38" s="57"/>
      <c r="E38" s="52"/>
      <c r="F38" s="53"/>
      <c r="G38" s="45">
        <v>213650000</v>
      </c>
      <c r="H38" s="45"/>
      <c r="I38" s="45"/>
      <c r="J38" s="45"/>
      <c r="K38" s="45"/>
      <c r="L38" s="45">
        <f t="shared" si="9"/>
        <v>7606320.297</v>
      </c>
      <c r="M38" s="45"/>
      <c r="N38" s="45">
        <f t="shared" si="10"/>
        <v>7605940</v>
      </c>
      <c r="O38" s="45">
        <f t="shared" si="11"/>
        <v>380.297</v>
      </c>
    </row>
    <row r="39" s="6" customFormat="1" ht="28.9" customHeight="1" spans="1:15">
      <c r="A39" s="32"/>
      <c r="B39" s="33" t="s">
        <v>77</v>
      </c>
      <c r="C39" s="34"/>
      <c r="D39" s="50" t="s">
        <v>78</v>
      </c>
      <c r="E39" s="58" t="s">
        <v>36</v>
      </c>
      <c r="F39" s="59">
        <v>44753</v>
      </c>
      <c r="G39" s="38">
        <f>SUM(G40:G42)</f>
        <v>94000000</v>
      </c>
      <c r="H39" s="38">
        <v>3.61</v>
      </c>
      <c r="I39" s="38">
        <v>1</v>
      </c>
      <c r="J39" s="38">
        <v>0.1</v>
      </c>
      <c r="K39" s="38">
        <v>0.05</v>
      </c>
      <c r="L39" s="38">
        <f>SUM(L40:L42)</f>
        <v>3393569.67</v>
      </c>
      <c r="M39" s="38">
        <f>SUM(M40:M42)</f>
        <v>0</v>
      </c>
      <c r="N39" s="38">
        <f>SUM(N40:N42)</f>
        <v>3393400</v>
      </c>
      <c r="O39" s="38">
        <f>SUM(O40:O42)</f>
        <v>169.67</v>
      </c>
    </row>
    <row r="40" s="5" customFormat="1" ht="28.9" customHeight="1" spans="1:15">
      <c r="A40" s="46" t="s">
        <v>37</v>
      </c>
      <c r="B40" s="49" t="s">
        <v>79</v>
      </c>
      <c r="C40" s="47" t="s">
        <v>80</v>
      </c>
      <c r="D40" s="48"/>
      <c r="E40" s="60"/>
      <c r="F40" s="61"/>
      <c r="G40" s="45">
        <v>50000000</v>
      </c>
      <c r="H40" s="45"/>
      <c r="I40" s="45"/>
      <c r="J40" s="45"/>
      <c r="K40" s="45"/>
      <c r="L40" s="45">
        <f t="shared" ref="L40:L42" si="12">SUM(M40:O40)</f>
        <v>1805090.25</v>
      </c>
      <c r="M40" s="45"/>
      <c r="N40" s="45">
        <f t="shared" ref="N40:N42" si="13">G40*0.0361</f>
        <v>1805000</v>
      </c>
      <c r="O40" s="45">
        <f t="shared" ref="O40:O42" si="14">(M40+N40)*0.00005</f>
        <v>90.25</v>
      </c>
    </row>
    <row r="41" s="5" customFormat="1" ht="28.9" customHeight="1" spans="1:15">
      <c r="A41" s="46" t="s">
        <v>39</v>
      </c>
      <c r="B41" s="49" t="s">
        <v>45</v>
      </c>
      <c r="C41" s="47" t="s">
        <v>81</v>
      </c>
      <c r="D41" s="48"/>
      <c r="E41" s="60"/>
      <c r="F41" s="61"/>
      <c r="G41" s="45">
        <v>24000000</v>
      </c>
      <c r="H41" s="45"/>
      <c r="I41" s="45"/>
      <c r="J41" s="45"/>
      <c r="K41" s="45"/>
      <c r="L41" s="45">
        <f t="shared" si="12"/>
        <v>866443.32</v>
      </c>
      <c r="M41" s="45"/>
      <c r="N41" s="45">
        <f t="shared" si="13"/>
        <v>866400</v>
      </c>
      <c r="O41" s="45">
        <f t="shared" si="14"/>
        <v>43.32</v>
      </c>
    </row>
    <row r="42" s="5" customFormat="1" ht="28.9" customHeight="1" spans="1:15">
      <c r="A42" s="46" t="s">
        <v>41</v>
      </c>
      <c r="B42" s="49" t="s">
        <v>82</v>
      </c>
      <c r="C42" s="47" t="s">
        <v>83</v>
      </c>
      <c r="D42" s="48"/>
      <c r="E42" s="60"/>
      <c r="F42" s="61"/>
      <c r="G42" s="45">
        <v>20000000</v>
      </c>
      <c r="H42" s="45"/>
      <c r="I42" s="45"/>
      <c r="J42" s="45"/>
      <c r="K42" s="45"/>
      <c r="L42" s="45">
        <f t="shared" si="12"/>
        <v>722036.1</v>
      </c>
      <c r="M42" s="45"/>
      <c r="N42" s="45">
        <f t="shared" si="13"/>
        <v>722000</v>
      </c>
      <c r="O42" s="45">
        <f t="shared" si="14"/>
        <v>36.1</v>
      </c>
    </row>
    <row r="43" s="6" customFormat="1" ht="28.9" customHeight="1" spans="1:15">
      <c r="A43" s="32"/>
      <c r="B43" s="54" t="s">
        <v>84</v>
      </c>
      <c r="C43" s="55"/>
      <c r="D43" s="50" t="s">
        <v>35</v>
      </c>
      <c r="E43" s="58" t="s">
        <v>36</v>
      </c>
      <c r="F43" s="59">
        <v>45484</v>
      </c>
      <c r="G43" s="38">
        <f>SUM(G44:G46)</f>
        <v>715000000</v>
      </c>
      <c r="H43" s="38">
        <v>3.82</v>
      </c>
      <c r="I43" s="38">
        <v>1</v>
      </c>
      <c r="J43" s="38">
        <v>0.1</v>
      </c>
      <c r="K43" s="38">
        <v>0.05</v>
      </c>
      <c r="L43" s="38">
        <f>SUM(L44:L46)</f>
        <v>27314365.65</v>
      </c>
      <c r="M43" s="38">
        <f>SUM(M44:M46)</f>
        <v>0</v>
      </c>
      <c r="N43" s="38">
        <f>SUM(N44:N46)</f>
        <v>27313000</v>
      </c>
      <c r="O43" s="38">
        <f>SUM(O44:O46)</f>
        <v>1365.65</v>
      </c>
    </row>
    <row r="44" s="5" customFormat="1" ht="28.9" customHeight="1" spans="1:15">
      <c r="A44" s="32">
        <v>1</v>
      </c>
      <c r="B44" s="40" t="s">
        <v>85</v>
      </c>
      <c r="C44" s="41" t="s">
        <v>86</v>
      </c>
      <c r="D44" s="51"/>
      <c r="E44" s="62"/>
      <c r="F44" s="63"/>
      <c r="G44" s="45">
        <v>350000000</v>
      </c>
      <c r="H44" s="45"/>
      <c r="I44" s="45"/>
      <c r="J44" s="45"/>
      <c r="K44" s="45"/>
      <c r="L44" s="45">
        <f t="shared" ref="L44:L46" si="15">SUM(M44:O44)</f>
        <v>13370668.5</v>
      </c>
      <c r="M44" s="45"/>
      <c r="N44" s="45">
        <f t="shared" ref="N44:N46" si="16">G44*0.0382</f>
        <v>13370000</v>
      </c>
      <c r="O44" s="45">
        <f t="shared" ref="O44:O46" si="17">(M44+N44)*0.00005</f>
        <v>668.5</v>
      </c>
    </row>
    <row r="45" s="5" customFormat="1" ht="28.9" customHeight="1" spans="1:15">
      <c r="A45" s="32">
        <v>2</v>
      </c>
      <c r="B45" s="64" t="s">
        <v>87</v>
      </c>
      <c r="C45" s="41" t="s">
        <v>88</v>
      </c>
      <c r="D45" s="51"/>
      <c r="E45" s="62"/>
      <c r="F45" s="63"/>
      <c r="G45" s="45">
        <v>290000000</v>
      </c>
      <c r="H45" s="45"/>
      <c r="I45" s="45"/>
      <c r="J45" s="45"/>
      <c r="K45" s="45"/>
      <c r="L45" s="45">
        <f t="shared" si="15"/>
        <v>11078553.9</v>
      </c>
      <c r="M45" s="45"/>
      <c r="N45" s="45">
        <f t="shared" si="16"/>
        <v>11078000</v>
      </c>
      <c r="O45" s="45">
        <f t="shared" si="17"/>
        <v>553.9</v>
      </c>
    </row>
    <row r="46" s="5" customFormat="1" ht="28.9" customHeight="1" spans="1:15">
      <c r="A46" s="32">
        <v>3</v>
      </c>
      <c r="B46" s="40" t="s">
        <v>85</v>
      </c>
      <c r="C46" s="41" t="s">
        <v>89</v>
      </c>
      <c r="D46" s="51"/>
      <c r="E46" s="62"/>
      <c r="F46" s="63"/>
      <c r="G46" s="45">
        <v>75000000</v>
      </c>
      <c r="H46" s="45"/>
      <c r="I46" s="45"/>
      <c r="J46" s="45"/>
      <c r="K46" s="45"/>
      <c r="L46" s="45">
        <f t="shared" si="15"/>
        <v>2865143.25</v>
      </c>
      <c r="M46" s="45"/>
      <c r="N46" s="45">
        <f t="shared" si="16"/>
        <v>2865000</v>
      </c>
      <c r="O46" s="45">
        <f t="shared" si="17"/>
        <v>143.25</v>
      </c>
    </row>
    <row r="47" s="6" customFormat="1" ht="28.9" customHeight="1" spans="1:15">
      <c r="A47" s="32"/>
      <c r="B47" s="65" t="s">
        <v>90</v>
      </c>
      <c r="C47" s="66"/>
      <c r="D47" s="58" t="s">
        <v>21</v>
      </c>
      <c r="E47" s="67" t="s">
        <v>22</v>
      </c>
      <c r="F47" s="59">
        <v>46579</v>
      </c>
      <c r="G47" s="38">
        <f>SUM(G48:G51)</f>
        <v>908000000</v>
      </c>
      <c r="H47" s="38">
        <v>3.88</v>
      </c>
      <c r="I47" s="38">
        <v>1</v>
      </c>
      <c r="J47" s="38">
        <v>0.1</v>
      </c>
      <c r="K47" s="38">
        <v>0.05</v>
      </c>
      <c r="L47" s="38">
        <f>SUM(L48:L51)</f>
        <v>35232161.52</v>
      </c>
      <c r="M47" s="38">
        <f>SUM(M48:M51)</f>
        <v>0</v>
      </c>
      <c r="N47" s="38">
        <f>SUM(N48:N51)</f>
        <v>35230400</v>
      </c>
      <c r="O47" s="38">
        <f>SUM(O48:O51)</f>
        <v>1761.52</v>
      </c>
    </row>
    <row r="48" s="5" customFormat="1" ht="28.9" customHeight="1" spans="1:15">
      <c r="A48" s="32">
        <v>1</v>
      </c>
      <c r="B48" s="40" t="s">
        <v>91</v>
      </c>
      <c r="C48" s="41" t="s">
        <v>92</v>
      </c>
      <c r="D48" s="68"/>
      <c r="E48" s="69"/>
      <c r="F48" s="63"/>
      <c r="G48" s="45">
        <v>350000000</v>
      </c>
      <c r="H48" s="45"/>
      <c r="I48" s="45"/>
      <c r="J48" s="45"/>
      <c r="K48" s="45"/>
      <c r="L48" s="45">
        <f t="shared" ref="L48:L51" si="18">SUM(M48:O48)</f>
        <v>13580679</v>
      </c>
      <c r="M48" s="45"/>
      <c r="N48" s="45">
        <f t="shared" ref="N48:N51" si="19">G48*0.0388</f>
        <v>13580000</v>
      </c>
      <c r="O48" s="45">
        <f t="shared" ref="O48:O51" si="20">(M48+N48)*0.00005</f>
        <v>679</v>
      </c>
    </row>
    <row r="49" s="5" customFormat="1" ht="28.9" customHeight="1" spans="1:15">
      <c r="A49" s="32">
        <v>2</v>
      </c>
      <c r="B49" s="40" t="s">
        <v>45</v>
      </c>
      <c r="C49" s="41" t="s">
        <v>93</v>
      </c>
      <c r="D49" s="68"/>
      <c r="E49" s="69"/>
      <c r="F49" s="63"/>
      <c r="G49" s="45">
        <v>270000000</v>
      </c>
      <c r="H49" s="45"/>
      <c r="I49" s="45"/>
      <c r="J49" s="45"/>
      <c r="K49" s="45"/>
      <c r="L49" s="45">
        <f t="shared" si="18"/>
        <v>10476523.8</v>
      </c>
      <c r="M49" s="45"/>
      <c r="N49" s="45">
        <f t="shared" si="19"/>
        <v>10476000</v>
      </c>
      <c r="O49" s="45">
        <f t="shared" si="20"/>
        <v>523.8</v>
      </c>
    </row>
    <row r="50" s="5" customFormat="1" ht="28.9" customHeight="1" spans="1:15">
      <c r="A50" s="32">
        <v>3</v>
      </c>
      <c r="B50" s="40" t="s">
        <v>82</v>
      </c>
      <c r="C50" s="41" t="s">
        <v>94</v>
      </c>
      <c r="D50" s="68"/>
      <c r="E50" s="69"/>
      <c r="F50" s="63"/>
      <c r="G50" s="45">
        <v>190000000</v>
      </c>
      <c r="H50" s="45"/>
      <c r="I50" s="45"/>
      <c r="J50" s="45"/>
      <c r="K50" s="45"/>
      <c r="L50" s="45">
        <f t="shared" si="18"/>
        <v>7372368.6</v>
      </c>
      <c r="M50" s="45"/>
      <c r="N50" s="45">
        <f t="shared" si="19"/>
        <v>7372000</v>
      </c>
      <c r="O50" s="45">
        <f t="shared" si="20"/>
        <v>368.6</v>
      </c>
    </row>
    <row r="51" s="5" customFormat="1" ht="28.9" customHeight="1" spans="1:15">
      <c r="A51" s="32">
        <v>4</v>
      </c>
      <c r="B51" s="40" t="s">
        <v>82</v>
      </c>
      <c r="C51" s="41" t="s">
        <v>95</v>
      </c>
      <c r="D51" s="68"/>
      <c r="E51" s="69"/>
      <c r="F51" s="63"/>
      <c r="G51" s="45">
        <v>98000000</v>
      </c>
      <c r="H51" s="45"/>
      <c r="I51" s="45"/>
      <c r="J51" s="45"/>
      <c r="K51" s="45"/>
      <c r="L51" s="45">
        <f t="shared" si="18"/>
        <v>3802590.12</v>
      </c>
      <c r="M51" s="45"/>
      <c r="N51" s="45">
        <f t="shared" si="19"/>
        <v>3802400</v>
      </c>
      <c r="O51" s="45">
        <f t="shared" si="20"/>
        <v>190.12</v>
      </c>
    </row>
    <row r="52" s="6" customFormat="1" ht="28.9" customHeight="1" spans="1:15">
      <c r="A52" s="32"/>
      <c r="B52" s="54" t="s">
        <v>96</v>
      </c>
      <c r="C52" s="55"/>
      <c r="D52" s="58" t="s">
        <v>21</v>
      </c>
      <c r="E52" s="67" t="s">
        <v>22</v>
      </c>
      <c r="F52" s="59">
        <v>46966</v>
      </c>
      <c r="G52" s="38">
        <f>SUM(G53:G60)</f>
        <v>1711000000</v>
      </c>
      <c r="H52" s="38">
        <v>3.64</v>
      </c>
      <c r="I52" s="38">
        <v>1</v>
      </c>
      <c r="J52" s="38">
        <v>0.1</v>
      </c>
      <c r="K52" s="38">
        <v>0.05</v>
      </c>
      <c r="L52" s="38">
        <f>SUM(L53:L60)</f>
        <v>62283514.02</v>
      </c>
      <c r="M52" s="38">
        <f>SUM(M53:M60)</f>
        <v>0</v>
      </c>
      <c r="N52" s="38">
        <f>SUM(N53:N60)</f>
        <v>62280400</v>
      </c>
      <c r="O52" s="38">
        <f>SUM(O53:O60)</f>
        <v>3114.02</v>
      </c>
    </row>
    <row r="53" s="5" customFormat="1" ht="28.9" customHeight="1" spans="1:15">
      <c r="A53" s="32">
        <v>1</v>
      </c>
      <c r="B53" s="70" t="s">
        <v>97</v>
      </c>
      <c r="C53" s="71" t="s">
        <v>98</v>
      </c>
      <c r="D53" s="68"/>
      <c r="E53" s="69"/>
      <c r="F53" s="63"/>
      <c r="G53" s="45">
        <v>364000000</v>
      </c>
      <c r="H53" s="45"/>
      <c r="I53" s="45"/>
      <c r="J53" s="45"/>
      <c r="K53" s="45"/>
      <c r="L53" s="45">
        <f>M53+N53+O53</f>
        <v>13250262.48</v>
      </c>
      <c r="M53" s="45"/>
      <c r="N53" s="45">
        <f t="shared" ref="N53:N60" si="21">G53*0.0364</f>
        <v>13249600</v>
      </c>
      <c r="O53" s="45">
        <f t="shared" ref="O53:O60" si="22">(M53+N53)*0.00005</f>
        <v>662.48</v>
      </c>
    </row>
    <row r="54" s="5" customFormat="1" ht="28.9" customHeight="1" spans="1:15">
      <c r="A54" s="32">
        <v>2</v>
      </c>
      <c r="B54" s="70" t="s">
        <v>42</v>
      </c>
      <c r="C54" s="71" t="s">
        <v>99</v>
      </c>
      <c r="D54" s="68"/>
      <c r="E54" s="69"/>
      <c r="F54" s="63"/>
      <c r="G54" s="45">
        <v>350000000</v>
      </c>
      <c r="H54" s="45"/>
      <c r="I54" s="45"/>
      <c r="J54" s="45"/>
      <c r="K54" s="45"/>
      <c r="L54" s="45">
        <f t="shared" ref="L54:L60" si="23">SUM(M54:O54)</f>
        <v>12740637</v>
      </c>
      <c r="M54" s="45"/>
      <c r="N54" s="45">
        <f t="shared" si="21"/>
        <v>12740000</v>
      </c>
      <c r="O54" s="45">
        <f t="shared" si="22"/>
        <v>637</v>
      </c>
    </row>
    <row r="55" s="5" customFormat="1" ht="28.9" customHeight="1" spans="1:15">
      <c r="A55" s="32">
        <v>3</v>
      </c>
      <c r="B55" s="70" t="s">
        <v>100</v>
      </c>
      <c r="C55" s="71" t="s">
        <v>101</v>
      </c>
      <c r="D55" s="68"/>
      <c r="E55" s="69"/>
      <c r="F55" s="63"/>
      <c r="G55" s="45">
        <v>310000000</v>
      </c>
      <c r="H55" s="45"/>
      <c r="I55" s="45"/>
      <c r="J55" s="45"/>
      <c r="K55" s="45"/>
      <c r="L55" s="45">
        <f t="shared" si="23"/>
        <v>11284564.2</v>
      </c>
      <c r="M55" s="45"/>
      <c r="N55" s="45">
        <f t="shared" si="21"/>
        <v>11284000</v>
      </c>
      <c r="O55" s="45">
        <f t="shared" si="22"/>
        <v>564.2</v>
      </c>
    </row>
    <row r="56" s="5" customFormat="1" ht="28.9" customHeight="1" spans="1:15">
      <c r="A56" s="32">
        <v>4</v>
      </c>
      <c r="B56" s="70" t="s">
        <v>79</v>
      </c>
      <c r="C56" s="71" t="s">
        <v>102</v>
      </c>
      <c r="D56" s="68"/>
      <c r="E56" s="69"/>
      <c r="F56" s="63"/>
      <c r="G56" s="45">
        <v>141000000</v>
      </c>
      <c r="H56" s="45"/>
      <c r="I56" s="45"/>
      <c r="J56" s="45"/>
      <c r="K56" s="45"/>
      <c r="L56" s="45">
        <f t="shared" si="23"/>
        <v>5132656.62</v>
      </c>
      <c r="M56" s="45"/>
      <c r="N56" s="45">
        <f t="shared" si="21"/>
        <v>5132400</v>
      </c>
      <c r="O56" s="45">
        <f t="shared" si="22"/>
        <v>256.62</v>
      </c>
    </row>
    <row r="57" s="5" customFormat="1" ht="28.9" customHeight="1" spans="1:15">
      <c r="A57" s="32">
        <v>5</v>
      </c>
      <c r="B57" s="70" t="s">
        <v>82</v>
      </c>
      <c r="C57" s="71" t="s">
        <v>103</v>
      </c>
      <c r="D57" s="68"/>
      <c r="E57" s="69"/>
      <c r="F57" s="63"/>
      <c r="G57" s="45">
        <v>79000000</v>
      </c>
      <c r="H57" s="45"/>
      <c r="I57" s="45"/>
      <c r="J57" s="45"/>
      <c r="K57" s="45"/>
      <c r="L57" s="45">
        <f t="shared" si="23"/>
        <v>2875743.78</v>
      </c>
      <c r="M57" s="45"/>
      <c r="N57" s="45">
        <f t="shared" si="21"/>
        <v>2875600</v>
      </c>
      <c r="O57" s="45">
        <f t="shared" si="22"/>
        <v>143.78</v>
      </c>
    </row>
    <row r="58" s="5" customFormat="1" ht="28.9" customHeight="1" spans="1:15">
      <c r="A58" s="32">
        <v>6</v>
      </c>
      <c r="B58" s="70" t="s">
        <v>82</v>
      </c>
      <c r="C58" s="71" t="s">
        <v>104</v>
      </c>
      <c r="D58" s="68"/>
      <c r="E58" s="69"/>
      <c r="F58" s="63"/>
      <c r="G58" s="45">
        <v>167000000</v>
      </c>
      <c r="H58" s="45"/>
      <c r="I58" s="45"/>
      <c r="J58" s="45"/>
      <c r="K58" s="45"/>
      <c r="L58" s="45">
        <f t="shared" si="23"/>
        <v>6079103.94</v>
      </c>
      <c r="M58" s="45"/>
      <c r="N58" s="45">
        <f t="shared" si="21"/>
        <v>6078800</v>
      </c>
      <c r="O58" s="45">
        <f t="shared" si="22"/>
        <v>303.94</v>
      </c>
    </row>
    <row r="59" s="5" customFormat="1" ht="28.9" customHeight="1" spans="1:15">
      <c r="A59" s="32">
        <v>7</v>
      </c>
      <c r="B59" s="70" t="s">
        <v>42</v>
      </c>
      <c r="C59" s="71" t="s">
        <v>105</v>
      </c>
      <c r="D59" s="68"/>
      <c r="E59" s="69"/>
      <c r="F59" s="63"/>
      <c r="G59" s="45">
        <v>200000000</v>
      </c>
      <c r="H59" s="45"/>
      <c r="I59" s="45"/>
      <c r="J59" s="45"/>
      <c r="K59" s="45"/>
      <c r="L59" s="45">
        <f t="shared" si="23"/>
        <v>7280364</v>
      </c>
      <c r="M59" s="45"/>
      <c r="N59" s="45">
        <f t="shared" si="21"/>
        <v>7280000</v>
      </c>
      <c r="O59" s="45">
        <f t="shared" si="22"/>
        <v>364</v>
      </c>
    </row>
    <row r="60" s="5" customFormat="1" ht="28.9" customHeight="1" spans="1:15">
      <c r="A60" s="32">
        <v>8</v>
      </c>
      <c r="B60" s="70" t="s">
        <v>79</v>
      </c>
      <c r="C60" s="71" t="s">
        <v>106</v>
      </c>
      <c r="D60" s="68"/>
      <c r="E60" s="69"/>
      <c r="F60" s="63"/>
      <c r="G60" s="45">
        <v>100000000</v>
      </c>
      <c r="H60" s="45"/>
      <c r="I60" s="45"/>
      <c r="J60" s="45"/>
      <c r="K60" s="45"/>
      <c r="L60" s="45">
        <f t="shared" si="23"/>
        <v>3640182</v>
      </c>
      <c r="M60" s="45"/>
      <c r="N60" s="45">
        <f t="shared" si="21"/>
        <v>3640000</v>
      </c>
      <c r="O60" s="45">
        <f t="shared" si="22"/>
        <v>182</v>
      </c>
    </row>
    <row r="61" s="6" customFormat="1" ht="28.9" customHeight="1" spans="1:15">
      <c r="A61" s="32"/>
      <c r="B61" s="54" t="s">
        <v>107</v>
      </c>
      <c r="C61" s="55"/>
      <c r="D61" s="58" t="s">
        <v>21</v>
      </c>
      <c r="E61" s="67" t="s">
        <v>22</v>
      </c>
      <c r="F61" s="59">
        <v>47058</v>
      </c>
      <c r="G61" s="38">
        <f>SUM(G62:G83)</f>
        <v>269890000</v>
      </c>
      <c r="H61" s="38">
        <v>3.93</v>
      </c>
      <c r="I61" s="38">
        <v>1</v>
      </c>
      <c r="J61" s="38">
        <v>0.1</v>
      </c>
      <c r="K61" s="38">
        <v>0.05</v>
      </c>
      <c r="L61" s="38">
        <f>SUM(L62:L83)</f>
        <v>10607207.33385</v>
      </c>
      <c r="M61" s="38">
        <f>SUM(M62:M83)</f>
        <v>0</v>
      </c>
      <c r="N61" s="38">
        <f>SUM(N62:N83)</f>
        <v>10606677</v>
      </c>
      <c r="O61" s="38">
        <f>SUM(O62:O83)</f>
        <v>530.33385</v>
      </c>
    </row>
    <row r="62" s="5" customFormat="1" ht="28.9" customHeight="1" spans="1:15">
      <c r="A62" s="32">
        <v>1</v>
      </c>
      <c r="B62" s="70" t="s">
        <v>23</v>
      </c>
      <c r="C62" s="70" t="s">
        <v>108</v>
      </c>
      <c r="D62" s="68"/>
      <c r="E62" s="69"/>
      <c r="F62" s="63"/>
      <c r="G62" s="45">
        <v>20000000</v>
      </c>
      <c r="H62" s="45"/>
      <c r="I62" s="45"/>
      <c r="J62" s="45"/>
      <c r="K62" s="45"/>
      <c r="L62" s="45">
        <f>SUM(M62:O62)</f>
        <v>786039.3</v>
      </c>
      <c r="M62" s="45"/>
      <c r="N62" s="45">
        <f t="shared" ref="N62:N83" si="24">G62*0.0393</f>
        <v>786000</v>
      </c>
      <c r="O62" s="45">
        <f t="shared" ref="O62:O83" si="25">(M62+N62)*0.00005</f>
        <v>39.3</v>
      </c>
    </row>
    <row r="63" s="5" customFormat="1" ht="28.9" customHeight="1" spans="1:15">
      <c r="A63" s="32">
        <v>2</v>
      </c>
      <c r="B63" s="70" t="s">
        <v>109</v>
      </c>
      <c r="C63" s="70" t="s">
        <v>110</v>
      </c>
      <c r="D63" s="68"/>
      <c r="E63" s="69"/>
      <c r="F63" s="63"/>
      <c r="G63" s="45">
        <v>24000000</v>
      </c>
      <c r="H63" s="45"/>
      <c r="I63" s="45"/>
      <c r="J63" s="45"/>
      <c r="K63" s="45"/>
      <c r="L63" s="45">
        <f t="shared" ref="L63:L83" si="26">SUM(M63:O63)</f>
        <v>943247.16</v>
      </c>
      <c r="M63" s="45"/>
      <c r="N63" s="45">
        <f t="shared" si="24"/>
        <v>943200</v>
      </c>
      <c r="O63" s="45">
        <f t="shared" si="25"/>
        <v>47.16</v>
      </c>
    </row>
    <row r="64" s="5" customFormat="1" ht="28.9" customHeight="1" spans="1:15">
      <c r="A64" s="32">
        <v>3</v>
      </c>
      <c r="B64" s="70" t="s">
        <v>42</v>
      </c>
      <c r="C64" s="70" t="s">
        <v>111</v>
      </c>
      <c r="D64" s="68"/>
      <c r="E64" s="69"/>
      <c r="F64" s="63"/>
      <c r="G64" s="45">
        <v>8710000</v>
      </c>
      <c r="H64" s="45"/>
      <c r="I64" s="45"/>
      <c r="J64" s="45"/>
      <c r="K64" s="45"/>
      <c r="L64" s="45">
        <f t="shared" si="26"/>
        <v>342320.11515</v>
      </c>
      <c r="M64" s="45"/>
      <c r="N64" s="45">
        <f t="shared" si="24"/>
        <v>342303</v>
      </c>
      <c r="O64" s="45">
        <f t="shared" si="25"/>
        <v>17.11515</v>
      </c>
    </row>
    <row r="65" s="5" customFormat="1" ht="28.9" customHeight="1" spans="1:15">
      <c r="A65" s="32">
        <v>4</v>
      </c>
      <c r="B65" s="70" t="s">
        <v>42</v>
      </c>
      <c r="C65" s="70" t="s">
        <v>43</v>
      </c>
      <c r="D65" s="68"/>
      <c r="E65" s="69"/>
      <c r="F65" s="63"/>
      <c r="G65" s="45">
        <v>7300000</v>
      </c>
      <c r="H65" s="45"/>
      <c r="I65" s="45"/>
      <c r="J65" s="45"/>
      <c r="K65" s="45"/>
      <c r="L65" s="45">
        <f t="shared" si="26"/>
        <v>286904.3445</v>
      </c>
      <c r="M65" s="45"/>
      <c r="N65" s="45">
        <f t="shared" si="24"/>
        <v>286890</v>
      </c>
      <c r="O65" s="45">
        <f t="shared" si="25"/>
        <v>14.3445</v>
      </c>
    </row>
    <row r="66" s="5" customFormat="1" ht="28.9" customHeight="1" spans="1:15">
      <c r="A66" s="32">
        <v>5</v>
      </c>
      <c r="B66" s="70" t="s">
        <v>42</v>
      </c>
      <c r="C66" s="70" t="s">
        <v>112</v>
      </c>
      <c r="D66" s="68"/>
      <c r="E66" s="69"/>
      <c r="F66" s="63"/>
      <c r="G66" s="45">
        <v>8740000</v>
      </c>
      <c r="H66" s="45"/>
      <c r="I66" s="45"/>
      <c r="J66" s="45"/>
      <c r="K66" s="45"/>
      <c r="L66" s="45">
        <f t="shared" si="26"/>
        <v>343499.1741</v>
      </c>
      <c r="M66" s="45"/>
      <c r="N66" s="45">
        <f t="shared" si="24"/>
        <v>343482</v>
      </c>
      <c r="O66" s="45">
        <f t="shared" si="25"/>
        <v>17.1741</v>
      </c>
    </row>
    <row r="67" s="5" customFormat="1" ht="28.9" customHeight="1" spans="1:15">
      <c r="A67" s="32">
        <v>6</v>
      </c>
      <c r="B67" s="70" t="s">
        <v>113</v>
      </c>
      <c r="C67" s="70" t="s">
        <v>114</v>
      </c>
      <c r="D67" s="68"/>
      <c r="E67" s="69"/>
      <c r="F67" s="63"/>
      <c r="G67" s="45">
        <v>3280000</v>
      </c>
      <c r="H67" s="45"/>
      <c r="I67" s="45"/>
      <c r="J67" s="45"/>
      <c r="K67" s="45"/>
      <c r="L67" s="45">
        <f t="shared" si="26"/>
        <v>128910.4452</v>
      </c>
      <c r="M67" s="45"/>
      <c r="N67" s="45">
        <f t="shared" si="24"/>
        <v>128904</v>
      </c>
      <c r="O67" s="45">
        <f t="shared" si="25"/>
        <v>6.4452</v>
      </c>
    </row>
    <row r="68" s="5" customFormat="1" ht="28.9" customHeight="1" spans="1:15">
      <c r="A68" s="32">
        <v>7</v>
      </c>
      <c r="B68" s="70" t="s">
        <v>115</v>
      </c>
      <c r="C68" s="70" t="s">
        <v>116</v>
      </c>
      <c r="D68" s="68"/>
      <c r="E68" s="69"/>
      <c r="F68" s="63"/>
      <c r="G68" s="45">
        <v>400000</v>
      </c>
      <c r="H68" s="45"/>
      <c r="I68" s="45"/>
      <c r="J68" s="45"/>
      <c r="K68" s="45"/>
      <c r="L68" s="45">
        <f t="shared" si="26"/>
        <v>15720.786</v>
      </c>
      <c r="M68" s="45"/>
      <c r="N68" s="45">
        <f t="shared" si="24"/>
        <v>15720</v>
      </c>
      <c r="O68" s="45">
        <f t="shared" si="25"/>
        <v>0.786</v>
      </c>
    </row>
    <row r="69" s="5" customFormat="1" ht="28.9" customHeight="1" spans="1:15">
      <c r="A69" s="32">
        <v>8</v>
      </c>
      <c r="B69" s="70" t="s">
        <v>115</v>
      </c>
      <c r="C69" s="70" t="s">
        <v>117</v>
      </c>
      <c r="D69" s="68"/>
      <c r="E69" s="69"/>
      <c r="F69" s="63"/>
      <c r="G69" s="45">
        <v>20000</v>
      </c>
      <c r="H69" s="45"/>
      <c r="I69" s="45"/>
      <c r="J69" s="45"/>
      <c r="K69" s="45"/>
      <c r="L69" s="45">
        <f t="shared" si="26"/>
        <v>786.0393</v>
      </c>
      <c r="M69" s="45"/>
      <c r="N69" s="45">
        <f t="shared" si="24"/>
        <v>786</v>
      </c>
      <c r="O69" s="45">
        <f t="shared" si="25"/>
        <v>0.0393</v>
      </c>
    </row>
    <row r="70" s="5" customFormat="1" ht="28.9" customHeight="1" spans="1:15">
      <c r="A70" s="32">
        <v>9</v>
      </c>
      <c r="B70" s="70" t="s">
        <v>115</v>
      </c>
      <c r="C70" s="70" t="s">
        <v>118</v>
      </c>
      <c r="D70" s="68"/>
      <c r="E70" s="69"/>
      <c r="F70" s="63"/>
      <c r="G70" s="45">
        <v>450000</v>
      </c>
      <c r="H70" s="45"/>
      <c r="I70" s="45"/>
      <c r="J70" s="45"/>
      <c r="K70" s="45"/>
      <c r="L70" s="45">
        <f t="shared" si="26"/>
        <v>17685.88425</v>
      </c>
      <c r="M70" s="45"/>
      <c r="N70" s="45">
        <f t="shared" si="24"/>
        <v>17685</v>
      </c>
      <c r="O70" s="45">
        <f t="shared" si="25"/>
        <v>0.88425</v>
      </c>
    </row>
    <row r="71" s="5" customFormat="1" ht="28.9" customHeight="1" spans="1:15">
      <c r="A71" s="32">
        <v>10</v>
      </c>
      <c r="B71" s="70" t="s">
        <v>119</v>
      </c>
      <c r="C71" s="70" t="s">
        <v>120</v>
      </c>
      <c r="D71" s="68"/>
      <c r="E71" s="69"/>
      <c r="F71" s="63"/>
      <c r="G71" s="45">
        <v>180000</v>
      </c>
      <c r="H71" s="45"/>
      <c r="I71" s="45"/>
      <c r="J71" s="45"/>
      <c r="K71" s="45"/>
      <c r="L71" s="45">
        <f t="shared" si="26"/>
        <v>7074.3537</v>
      </c>
      <c r="M71" s="45"/>
      <c r="N71" s="45">
        <f t="shared" si="24"/>
        <v>7074</v>
      </c>
      <c r="O71" s="45">
        <f t="shared" si="25"/>
        <v>0.3537</v>
      </c>
    </row>
    <row r="72" s="5" customFormat="1" ht="28.9" customHeight="1" spans="1:15">
      <c r="A72" s="32">
        <v>11</v>
      </c>
      <c r="B72" s="70" t="s">
        <v>119</v>
      </c>
      <c r="C72" s="70" t="s">
        <v>121</v>
      </c>
      <c r="D72" s="68"/>
      <c r="E72" s="69"/>
      <c r="F72" s="63"/>
      <c r="G72" s="45">
        <v>640000</v>
      </c>
      <c r="H72" s="45"/>
      <c r="I72" s="45"/>
      <c r="J72" s="45"/>
      <c r="K72" s="45"/>
      <c r="L72" s="45">
        <f t="shared" si="26"/>
        <v>25153.2576</v>
      </c>
      <c r="M72" s="45"/>
      <c r="N72" s="45">
        <f t="shared" si="24"/>
        <v>25152</v>
      </c>
      <c r="O72" s="45">
        <f t="shared" si="25"/>
        <v>1.2576</v>
      </c>
    </row>
    <row r="73" s="5" customFormat="1" ht="28.9" customHeight="1" spans="1:15">
      <c r="A73" s="32">
        <v>12</v>
      </c>
      <c r="B73" s="70" t="s">
        <v>122</v>
      </c>
      <c r="C73" s="70" t="s">
        <v>123</v>
      </c>
      <c r="D73" s="68"/>
      <c r="E73" s="69"/>
      <c r="F73" s="63"/>
      <c r="G73" s="45">
        <v>350000</v>
      </c>
      <c r="H73" s="45"/>
      <c r="I73" s="45"/>
      <c r="J73" s="45"/>
      <c r="K73" s="45"/>
      <c r="L73" s="45">
        <f t="shared" si="26"/>
        <v>13755.68775</v>
      </c>
      <c r="M73" s="45"/>
      <c r="N73" s="45">
        <f t="shared" si="24"/>
        <v>13755</v>
      </c>
      <c r="O73" s="45">
        <f t="shared" si="25"/>
        <v>0.68775</v>
      </c>
    </row>
    <row r="74" s="5" customFormat="1" ht="28.9" customHeight="1" spans="1:15">
      <c r="A74" s="32">
        <v>13</v>
      </c>
      <c r="B74" s="70" t="s">
        <v>122</v>
      </c>
      <c r="C74" s="70" t="s">
        <v>124</v>
      </c>
      <c r="D74" s="68"/>
      <c r="E74" s="69"/>
      <c r="F74" s="63"/>
      <c r="G74" s="45">
        <v>630000</v>
      </c>
      <c r="H74" s="45"/>
      <c r="I74" s="45"/>
      <c r="J74" s="45"/>
      <c r="K74" s="45"/>
      <c r="L74" s="45">
        <f t="shared" si="26"/>
        <v>24760.23795</v>
      </c>
      <c r="M74" s="45"/>
      <c r="N74" s="45">
        <f t="shared" si="24"/>
        <v>24759</v>
      </c>
      <c r="O74" s="45">
        <f t="shared" si="25"/>
        <v>1.23795</v>
      </c>
    </row>
    <row r="75" s="5" customFormat="1" ht="28.9" customHeight="1" spans="1:15">
      <c r="A75" s="32">
        <v>14</v>
      </c>
      <c r="B75" s="70" t="s">
        <v>122</v>
      </c>
      <c r="C75" s="70" t="s">
        <v>125</v>
      </c>
      <c r="D75" s="68"/>
      <c r="E75" s="69"/>
      <c r="F75" s="63"/>
      <c r="G75" s="45">
        <v>4270000</v>
      </c>
      <c r="H75" s="45"/>
      <c r="I75" s="45"/>
      <c r="J75" s="45"/>
      <c r="K75" s="45"/>
      <c r="L75" s="45">
        <f t="shared" si="26"/>
        <v>167819.39055</v>
      </c>
      <c r="M75" s="45"/>
      <c r="N75" s="45">
        <f t="shared" si="24"/>
        <v>167811</v>
      </c>
      <c r="O75" s="45">
        <f t="shared" si="25"/>
        <v>8.39055</v>
      </c>
    </row>
    <row r="76" s="5" customFormat="1" ht="28.9" customHeight="1" spans="1:15">
      <c r="A76" s="32">
        <v>15</v>
      </c>
      <c r="B76" s="70" t="s">
        <v>122</v>
      </c>
      <c r="C76" s="70" t="s">
        <v>125</v>
      </c>
      <c r="D76" s="68"/>
      <c r="E76" s="69"/>
      <c r="F76" s="63"/>
      <c r="G76" s="45">
        <v>820000</v>
      </c>
      <c r="H76" s="45"/>
      <c r="I76" s="45"/>
      <c r="J76" s="45"/>
      <c r="K76" s="45"/>
      <c r="L76" s="45">
        <f t="shared" si="26"/>
        <v>32227.6113</v>
      </c>
      <c r="M76" s="45"/>
      <c r="N76" s="45">
        <f t="shared" si="24"/>
        <v>32226</v>
      </c>
      <c r="O76" s="45">
        <f t="shared" si="25"/>
        <v>1.6113</v>
      </c>
    </row>
    <row r="77" s="5" customFormat="1" ht="28.9" customHeight="1" spans="1:15">
      <c r="A77" s="32">
        <v>16</v>
      </c>
      <c r="B77" s="70" t="s">
        <v>28</v>
      </c>
      <c r="C77" s="70" t="s">
        <v>126</v>
      </c>
      <c r="D77" s="68"/>
      <c r="E77" s="69"/>
      <c r="F77" s="63"/>
      <c r="G77" s="45">
        <v>4700000</v>
      </c>
      <c r="H77" s="45"/>
      <c r="I77" s="45"/>
      <c r="J77" s="45"/>
      <c r="K77" s="45"/>
      <c r="L77" s="45">
        <f t="shared" si="26"/>
        <v>184719.2355</v>
      </c>
      <c r="M77" s="45"/>
      <c r="N77" s="45">
        <f t="shared" si="24"/>
        <v>184710</v>
      </c>
      <c r="O77" s="45">
        <f t="shared" si="25"/>
        <v>9.2355</v>
      </c>
    </row>
    <row r="78" s="5" customFormat="1" ht="28.9" customHeight="1" spans="1:15">
      <c r="A78" s="32">
        <v>17</v>
      </c>
      <c r="B78" s="70" t="s">
        <v>28</v>
      </c>
      <c r="C78" s="70" t="s">
        <v>127</v>
      </c>
      <c r="D78" s="68"/>
      <c r="E78" s="69"/>
      <c r="F78" s="63"/>
      <c r="G78" s="45">
        <v>140000</v>
      </c>
      <c r="H78" s="45"/>
      <c r="I78" s="45"/>
      <c r="J78" s="45"/>
      <c r="K78" s="45"/>
      <c r="L78" s="45">
        <f t="shared" si="26"/>
        <v>5502.2751</v>
      </c>
      <c r="M78" s="45"/>
      <c r="N78" s="45">
        <f t="shared" si="24"/>
        <v>5502</v>
      </c>
      <c r="O78" s="45">
        <f t="shared" si="25"/>
        <v>0.2751</v>
      </c>
    </row>
    <row r="79" s="5" customFormat="1" ht="28.9" customHeight="1" spans="1:15">
      <c r="A79" s="32">
        <v>18</v>
      </c>
      <c r="B79" s="70" t="s">
        <v>28</v>
      </c>
      <c r="C79" s="70" t="s">
        <v>128</v>
      </c>
      <c r="D79" s="68"/>
      <c r="E79" s="69"/>
      <c r="F79" s="63"/>
      <c r="G79" s="45">
        <v>50000</v>
      </c>
      <c r="H79" s="45"/>
      <c r="I79" s="45"/>
      <c r="J79" s="45"/>
      <c r="K79" s="45"/>
      <c r="L79" s="45">
        <f t="shared" si="26"/>
        <v>1965.09825</v>
      </c>
      <c r="M79" s="45"/>
      <c r="N79" s="45">
        <f t="shared" si="24"/>
        <v>1965</v>
      </c>
      <c r="O79" s="45">
        <f t="shared" si="25"/>
        <v>0.09825</v>
      </c>
    </row>
    <row r="80" s="5" customFormat="1" ht="28.9" customHeight="1" spans="1:15">
      <c r="A80" s="32">
        <v>19</v>
      </c>
      <c r="B80" s="70" t="s">
        <v>28</v>
      </c>
      <c r="C80" s="70" t="s">
        <v>128</v>
      </c>
      <c r="D80" s="68"/>
      <c r="E80" s="69"/>
      <c r="F80" s="63"/>
      <c r="G80" s="45">
        <v>20000</v>
      </c>
      <c r="H80" s="45"/>
      <c r="I80" s="45"/>
      <c r="J80" s="45"/>
      <c r="K80" s="45"/>
      <c r="L80" s="45">
        <f t="shared" si="26"/>
        <v>786.0393</v>
      </c>
      <c r="M80" s="45"/>
      <c r="N80" s="45">
        <f t="shared" si="24"/>
        <v>786</v>
      </c>
      <c r="O80" s="45">
        <f t="shared" si="25"/>
        <v>0.0393</v>
      </c>
    </row>
    <row r="81" s="5" customFormat="1" ht="28.9" customHeight="1" spans="1:15">
      <c r="A81" s="32">
        <v>20</v>
      </c>
      <c r="B81" s="70" t="s">
        <v>28</v>
      </c>
      <c r="C81" s="70" t="s">
        <v>29</v>
      </c>
      <c r="D81" s="68"/>
      <c r="E81" s="69"/>
      <c r="F81" s="63"/>
      <c r="G81" s="45">
        <v>5190000</v>
      </c>
      <c r="H81" s="45"/>
      <c r="I81" s="45"/>
      <c r="J81" s="45"/>
      <c r="K81" s="45"/>
      <c r="L81" s="45">
        <f t="shared" si="26"/>
        <v>203977.19835</v>
      </c>
      <c r="M81" s="45"/>
      <c r="N81" s="45">
        <f t="shared" si="24"/>
        <v>203967</v>
      </c>
      <c r="O81" s="45">
        <f t="shared" si="25"/>
        <v>10.19835</v>
      </c>
    </row>
    <row r="82" s="5" customFormat="1" ht="28.9" customHeight="1" spans="1:15">
      <c r="A82" s="32">
        <v>21</v>
      </c>
      <c r="B82" s="70" t="s">
        <v>23</v>
      </c>
      <c r="C82" s="70" t="s">
        <v>129</v>
      </c>
      <c r="D82" s="68"/>
      <c r="E82" s="69"/>
      <c r="F82" s="63"/>
      <c r="G82" s="45">
        <v>90000000</v>
      </c>
      <c r="H82" s="45"/>
      <c r="I82" s="45"/>
      <c r="J82" s="45"/>
      <c r="K82" s="45"/>
      <c r="L82" s="45">
        <f t="shared" si="26"/>
        <v>3537176.85</v>
      </c>
      <c r="M82" s="45"/>
      <c r="N82" s="45">
        <f t="shared" si="24"/>
        <v>3537000</v>
      </c>
      <c r="O82" s="45">
        <f t="shared" si="25"/>
        <v>176.85</v>
      </c>
    </row>
    <row r="83" s="5" customFormat="1" ht="28.9" customHeight="1" spans="1:15">
      <c r="A83" s="32">
        <v>22</v>
      </c>
      <c r="B83" s="70" t="s">
        <v>23</v>
      </c>
      <c r="C83" s="70" t="s">
        <v>130</v>
      </c>
      <c r="D83" s="68"/>
      <c r="E83" s="69"/>
      <c r="F83" s="63"/>
      <c r="G83" s="45">
        <v>90000000</v>
      </c>
      <c r="H83" s="45"/>
      <c r="I83" s="45"/>
      <c r="J83" s="45"/>
      <c r="K83" s="45"/>
      <c r="L83" s="45">
        <f t="shared" si="26"/>
        <v>3537176.85</v>
      </c>
      <c r="M83" s="45"/>
      <c r="N83" s="45">
        <f t="shared" si="24"/>
        <v>3537000</v>
      </c>
      <c r="O83" s="45">
        <f t="shared" si="25"/>
        <v>176.85</v>
      </c>
    </row>
    <row r="84" s="6" customFormat="1" ht="28.9" customHeight="1" spans="1:15">
      <c r="A84" s="32"/>
      <c r="B84" s="77" t="s">
        <v>131</v>
      </c>
      <c r="C84" s="78"/>
      <c r="D84" s="58" t="s">
        <v>21</v>
      </c>
      <c r="E84" s="67" t="s">
        <v>22</v>
      </c>
      <c r="F84" s="59">
        <v>47150</v>
      </c>
      <c r="G84" s="38">
        <f>SUM(G85:G86)</f>
        <v>250000000</v>
      </c>
      <c r="H84" s="38">
        <v>3.38</v>
      </c>
      <c r="I84" s="38">
        <v>1</v>
      </c>
      <c r="J84" s="38">
        <v>0.1</v>
      </c>
      <c r="K84" s="38">
        <v>0.05</v>
      </c>
      <c r="L84" s="38">
        <f>SUM(L85:L86)</f>
        <v>8450422.5</v>
      </c>
      <c r="M84" s="38">
        <f>SUM(M85:M86)</f>
        <v>0</v>
      </c>
      <c r="N84" s="38">
        <f>SUM(N85:N86)</f>
        <v>8450000</v>
      </c>
      <c r="O84" s="38">
        <f>SUM(O85:O86)</f>
        <v>422.5</v>
      </c>
    </row>
    <row r="85" s="5" customFormat="1" ht="28.9" customHeight="1" spans="1:15">
      <c r="A85" s="32">
        <v>1</v>
      </c>
      <c r="B85" s="70" t="s">
        <v>132</v>
      </c>
      <c r="C85" s="70" t="s">
        <v>133</v>
      </c>
      <c r="D85" s="68"/>
      <c r="E85" s="69"/>
      <c r="F85" s="63"/>
      <c r="G85" s="45">
        <v>130000000</v>
      </c>
      <c r="H85" s="45"/>
      <c r="I85" s="45"/>
      <c r="J85" s="45"/>
      <c r="K85" s="45"/>
      <c r="L85" s="45">
        <f t="shared" ref="L85:L91" si="27">SUM(M85:O85)</f>
        <v>4394219.7</v>
      </c>
      <c r="M85" s="45"/>
      <c r="N85" s="45">
        <f>G85*0.0338</f>
        <v>4394000</v>
      </c>
      <c r="O85" s="45">
        <f t="shared" ref="O85:O91" si="28">(M85+N85)*0.00005</f>
        <v>219.7</v>
      </c>
    </row>
    <row r="86" s="5" customFormat="1" ht="28.9" customHeight="1" spans="1:15">
      <c r="A86" s="32">
        <v>2</v>
      </c>
      <c r="B86" s="70" t="s">
        <v>134</v>
      </c>
      <c r="C86" s="70" t="s">
        <v>135</v>
      </c>
      <c r="D86" s="68"/>
      <c r="E86" s="69"/>
      <c r="F86" s="63"/>
      <c r="G86" s="45">
        <v>120000000</v>
      </c>
      <c r="H86" s="45"/>
      <c r="I86" s="45"/>
      <c r="J86" s="45"/>
      <c r="K86" s="45"/>
      <c r="L86" s="45">
        <f t="shared" si="27"/>
        <v>4056202.8</v>
      </c>
      <c r="M86" s="45"/>
      <c r="N86" s="45">
        <f>G86*0.0338</f>
        <v>4056000</v>
      </c>
      <c r="O86" s="45">
        <f t="shared" si="28"/>
        <v>202.8</v>
      </c>
    </row>
    <row r="87" s="6" customFormat="1" ht="28.9" customHeight="1" spans="1:15">
      <c r="A87" s="32"/>
      <c r="B87" s="79" t="s">
        <v>136</v>
      </c>
      <c r="C87" s="80"/>
      <c r="D87" s="58" t="s">
        <v>21</v>
      </c>
      <c r="E87" s="67" t="s">
        <v>22</v>
      </c>
      <c r="F87" s="59">
        <v>47525</v>
      </c>
      <c r="G87" s="38">
        <f>SUM(G88:G91)</f>
        <v>330000000</v>
      </c>
      <c r="H87" s="38">
        <v>3.08</v>
      </c>
      <c r="I87" s="38">
        <v>1</v>
      </c>
      <c r="J87" s="38">
        <v>0.08</v>
      </c>
      <c r="K87" s="38">
        <v>0.05</v>
      </c>
      <c r="L87" s="38">
        <f>SUM(L88:L91)</f>
        <v>10164508.2</v>
      </c>
      <c r="M87" s="38">
        <f>SUM(M88:M91)</f>
        <v>0</v>
      </c>
      <c r="N87" s="38">
        <f>SUM(N88:N91)</f>
        <v>10164000</v>
      </c>
      <c r="O87" s="38">
        <f>SUM(O88:O91)</f>
        <v>508.2</v>
      </c>
    </row>
    <row r="88" s="5" customFormat="1" ht="28.9" customHeight="1" spans="1:15">
      <c r="A88" s="32">
        <v>1</v>
      </c>
      <c r="B88" s="70" t="s">
        <v>97</v>
      </c>
      <c r="C88" s="70" t="s">
        <v>137</v>
      </c>
      <c r="D88" s="68"/>
      <c r="E88" s="69"/>
      <c r="F88" s="63"/>
      <c r="G88" s="45">
        <v>151000000</v>
      </c>
      <c r="H88" s="45"/>
      <c r="I88" s="45"/>
      <c r="J88" s="45"/>
      <c r="K88" s="45"/>
      <c r="L88" s="45">
        <f t="shared" si="27"/>
        <v>4651032.54</v>
      </c>
      <c r="M88" s="45"/>
      <c r="N88" s="45">
        <f t="shared" ref="N88:N91" si="29">G88*0.0308</f>
        <v>4650800</v>
      </c>
      <c r="O88" s="45">
        <f t="shared" si="28"/>
        <v>232.54</v>
      </c>
    </row>
    <row r="89" s="5" customFormat="1" ht="28.9" customHeight="1" spans="1:15">
      <c r="A89" s="32">
        <v>2</v>
      </c>
      <c r="B89" s="70" t="s">
        <v>45</v>
      </c>
      <c r="C89" s="70" t="s">
        <v>138</v>
      </c>
      <c r="D89" s="68"/>
      <c r="E89" s="69"/>
      <c r="F89" s="63"/>
      <c r="G89" s="45">
        <v>94000000</v>
      </c>
      <c r="H89" s="45"/>
      <c r="I89" s="45"/>
      <c r="J89" s="45"/>
      <c r="K89" s="45"/>
      <c r="L89" s="45">
        <f t="shared" si="27"/>
        <v>2895344.76</v>
      </c>
      <c r="M89" s="45"/>
      <c r="N89" s="45">
        <f t="shared" si="29"/>
        <v>2895200</v>
      </c>
      <c r="O89" s="45">
        <f t="shared" si="28"/>
        <v>144.76</v>
      </c>
    </row>
    <row r="90" s="5" customFormat="1" ht="28.9" customHeight="1" spans="1:15">
      <c r="A90" s="32">
        <v>3</v>
      </c>
      <c r="B90" s="70" t="s">
        <v>45</v>
      </c>
      <c r="C90" s="70" t="s">
        <v>139</v>
      </c>
      <c r="D90" s="68"/>
      <c r="E90" s="69"/>
      <c r="F90" s="63"/>
      <c r="G90" s="45">
        <v>55000000</v>
      </c>
      <c r="H90" s="45"/>
      <c r="I90" s="45"/>
      <c r="J90" s="45"/>
      <c r="K90" s="45"/>
      <c r="L90" s="45">
        <f t="shared" si="27"/>
        <v>1694084.7</v>
      </c>
      <c r="M90" s="45"/>
      <c r="N90" s="45">
        <f t="shared" si="29"/>
        <v>1694000</v>
      </c>
      <c r="O90" s="45">
        <f t="shared" si="28"/>
        <v>84.7</v>
      </c>
    </row>
    <row r="91" s="5" customFormat="1" ht="28.9" customHeight="1" spans="1:15">
      <c r="A91" s="32">
        <v>4</v>
      </c>
      <c r="B91" s="70" t="s">
        <v>82</v>
      </c>
      <c r="C91" s="70" t="s">
        <v>140</v>
      </c>
      <c r="D91" s="68"/>
      <c r="E91" s="69"/>
      <c r="F91" s="63"/>
      <c r="G91" s="45">
        <v>30000000</v>
      </c>
      <c r="H91" s="45"/>
      <c r="I91" s="45"/>
      <c r="J91" s="45"/>
      <c r="K91" s="45"/>
      <c r="L91" s="45">
        <f t="shared" si="27"/>
        <v>924046.2</v>
      </c>
      <c r="M91" s="45"/>
      <c r="N91" s="45">
        <f t="shared" si="29"/>
        <v>924000</v>
      </c>
      <c r="O91" s="45">
        <f t="shared" si="28"/>
        <v>46.2</v>
      </c>
    </row>
    <row r="92" s="6" customFormat="1" ht="28.9" customHeight="1" spans="1:15">
      <c r="A92" s="32"/>
      <c r="B92" s="79" t="s">
        <v>141</v>
      </c>
      <c r="C92" s="80"/>
      <c r="D92" s="58" t="s">
        <v>35</v>
      </c>
      <c r="E92" s="67" t="s">
        <v>36</v>
      </c>
      <c r="F92" s="59">
        <v>46624</v>
      </c>
      <c r="G92" s="38">
        <f>SUM(G93:G97)</f>
        <v>1240000000</v>
      </c>
      <c r="H92" s="38">
        <v>3.27</v>
      </c>
      <c r="I92" s="38">
        <v>1</v>
      </c>
      <c r="J92" s="38">
        <v>0.06</v>
      </c>
      <c r="K92" s="38">
        <v>0.05</v>
      </c>
      <c r="L92" s="38">
        <f>SUM(L93:L97)</f>
        <v>40550027.4</v>
      </c>
      <c r="M92" s="38">
        <f>SUM(M93:M97)</f>
        <v>0</v>
      </c>
      <c r="N92" s="38">
        <f>SUM(N93:N97)</f>
        <v>40548000</v>
      </c>
      <c r="O92" s="38">
        <f>SUM(O93:O97)</f>
        <v>2027.4</v>
      </c>
    </row>
    <row r="93" s="5" customFormat="1" ht="28.9" customHeight="1" spans="1:15">
      <c r="A93" s="32">
        <v>1</v>
      </c>
      <c r="B93" s="70" t="s">
        <v>82</v>
      </c>
      <c r="C93" s="70" t="s">
        <v>142</v>
      </c>
      <c r="D93" s="68"/>
      <c r="E93" s="69"/>
      <c r="F93" s="63"/>
      <c r="G93" s="45">
        <v>80000000</v>
      </c>
      <c r="H93" s="45"/>
      <c r="I93" s="45"/>
      <c r="J93" s="45"/>
      <c r="K93" s="45"/>
      <c r="L93" s="45">
        <f t="shared" ref="L93:L97" si="30">SUM(M93:O93)</f>
        <v>2616130.8</v>
      </c>
      <c r="M93" s="45"/>
      <c r="N93" s="45">
        <f t="shared" ref="N93:N97" si="31">G93*0.0327</f>
        <v>2616000</v>
      </c>
      <c r="O93" s="45">
        <f t="shared" ref="O93:O97" si="32">(M93+N93)*0.00005</f>
        <v>130.8</v>
      </c>
    </row>
    <row r="94" s="5" customFormat="1" ht="28.9" customHeight="1" spans="1:15">
      <c r="A94" s="32">
        <v>2</v>
      </c>
      <c r="B94" s="70" t="s">
        <v>82</v>
      </c>
      <c r="C94" s="70" t="s">
        <v>143</v>
      </c>
      <c r="D94" s="68"/>
      <c r="E94" s="69"/>
      <c r="F94" s="63"/>
      <c r="G94" s="45">
        <v>150000000</v>
      </c>
      <c r="H94" s="45"/>
      <c r="I94" s="45"/>
      <c r="J94" s="45"/>
      <c r="K94" s="45"/>
      <c r="L94" s="45">
        <f t="shared" si="30"/>
        <v>4905245.25</v>
      </c>
      <c r="M94" s="45"/>
      <c r="N94" s="45">
        <f t="shared" si="31"/>
        <v>4905000</v>
      </c>
      <c r="O94" s="45">
        <f t="shared" si="32"/>
        <v>245.25</v>
      </c>
    </row>
    <row r="95" s="5" customFormat="1" ht="28.9" customHeight="1" spans="1:15">
      <c r="A95" s="32">
        <v>3</v>
      </c>
      <c r="B95" s="70" t="s">
        <v>82</v>
      </c>
      <c r="C95" s="70" t="s">
        <v>144</v>
      </c>
      <c r="D95" s="68"/>
      <c r="E95" s="69"/>
      <c r="F95" s="63"/>
      <c r="G95" s="45">
        <v>200000000</v>
      </c>
      <c r="H95" s="45"/>
      <c r="I95" s="45"/>
      <c r="J95" s="45"/>
      <c r="K95" s="45"/>
      <c r="L95" s="45">
        <f t="shared" si="30"/>
        <v>6540327</v>
      </c>
      <c r="M95" s="45"/>
      <c r="N95" s="45">
        <f t="shared" si="31"/>
        <v>6540000</v>
      </c>
      <c r="O95" s="45">
        <f t="shared" si="32"/>
        <v>327</v>
      </c>
    </row>
    <row r="96" s="5" customFormat="1" ht="28.9" customHeight="1" spans="1:15">
      <c r="A96" s="32">
        <v>4</v>
      </c>
      <c r="B96" s="70" t="s">
        <v>82</v>
      </c>
      <c r="C96" s="70" t="s">
        <v>145</v>
      </c>
      <c r="D96" s="68"/>
      <c r="E96" s="69"/>
      <c r="F96" s="63"/>
      <c r="G96" s="45">
        <v>100000000</v>
      </c>
      <c r="H96" s="45"/>
      <c r="I96" s="45"/>
      <c r="J96" s="45"/>
      <c r="K96" s="45"/>
      <c r="L96" s="45">
        <f t="shared" si="30"/>
        <v>3270163.5</v>
      </c>
      <c r="M96" s="45"/>
      <c r="N96" s="45">
        <f t="shared" si="31"/>
        <v>3270000</v>
      </c>
      <c r="O96" s="45">
        <f t="shared" si="32"/>
        <v>163.5</v>
      </c>
    </row>
    <row r="97" s="5" customFormat="1" ht="28.9" customHeight="1" spans="1:15">
      <c r="A97" s="32">
        <v>5</v>
      </c>
      <c r="B97" s="70" t="s">
        <v>79</v>
      </c>
      <c r="C97" s="70" t="s">
        <v>146</v>
      </c>
      <c r="D97" s="68"/>
      <c r="E97" s="69"/>
      <c r="F97" s="63"/>
      <c r="G97" s="45">
        <v>710000000</v>
      </c>
      <c r="H97" s="45"/>
      <c r="I97" s="45">
        <v>0</v>
      </c>
      <c r="J97" s="45"/>
      <c r="K97" s="45"/>
      <c r="L97" s="45">
        <f t="shared" si="30"/>
        <v>23218160.85</v>
      </c>
      <c r="M97" s="45"/>
      <c r="N97" s="45">
        <f t="shared" si="31"/>
        <v>23217000</v>
      </c>
      <c r="O97" s="45">
        <f t="shared" si="32"/>
        <v>1160.85</v>
      </c>
    </row>
    <row r="98" s="6" customFormat="1" ht="28.9" customHeight="1" spans="1:15">
      <c r="A98" s="32"/>
      <c r="B98" s="79" t="s">
        <v>147</v>
      </c>
      <c r="C98" s="80"/>
      <c r="D98" s="58" t="s">
        <v>21</v>
      </c>
      <c r="E98" s="67" t="s">
        <v>22</v>
      </c>
      <c r="F98" s="59">
        <v>47651</v>
      </c>
      <c r="G98" s="38">
        <f>SUM(G99:G101)</f>
        <v>81250000</v>
      </c>
      <c r="H98" s="38">
        <v>3.04</v>
      </c>
      <c r="I98" s="38">
        <v>1</v>
      </c>
      <c r="J98" s="38">
        <v>0.06</v>
      </c>
      <c r="K98" s="38">
        <v>0.05</v>
      </c>
      <c r="L98" s="38">
        <f>SUM(L99:L101)</f>
        <v>2470123.5</v>
      </c>
      <c r="M98" s="38">
        <f>SUM(M99:M101)</f>
        <v>0</v>
      </c>
      <c r="N98" s="38">
        <f>SUM(N99:N101)</f>
        <v>2470000</v>
      </c>
      <c r="O98" s="38">
        <f>SUM(O99:O101)</f>
        <v>123.5</v>
      </c>
    </row>
    <row r="99" s="7" customFormat="1" ht="28.9" customHeight="1" spans="1:15">
      <c r="A99" s="32">
        <v>1</v>
      </c>
      <c r="B99" s="40" t="s">
        <v>23</v>
      </c>
      <c r="C99" s="41" t="s">
        <v>148</v>
      </c>
      <c r="D99" s="81"/>
      <c r="E99" s="52"/>
      <c r="F99" s="53"/>
      <c r="G99" s="45">
        <v>1500000</v>
      </c>
      <c r="H99" s="45"/>
      <c r="I99" s="45"/>
      <c r="J99" s="45"/>
      <c r="K99" s="45"/>
      <c r="L99" s="45">
        <f t="shared" ref="L99:L101" si="33">SUM(M99:O99)</f>
        <v>45602.28</v>
      </c>
      <c r="M99" s="45"/>
      <c r="N99" s="45">
        <f t="shared" ref="N99:N101" si="34">G99*0.0304</f>
        <v>45600</v>
      </c>
      <c r="O99" s="45">
        <f t="shared" ref="O99:O101" si="35">(M99+N99)*0.00005</f>
        <v>2.28</v>
      </c>
    </row>
    <row r="100" s="7" customFormat="1" ht="28.9" customHeight="1" spans="1:15">
      <c r="A100" s="32">
        <v>2</v>
      </c>
      <c r="B100" s="40" t="s">
        <v>23</v>
      </c>
      <c r="C100" s="41" t="s">
        <v>75</v>
      </c>
      <c r="D100" s="81"/>
      <c r="E100" s="52"/>
      <c r="F100" s="53"/>
      <c r="G100" s="45">
        <v>23500000</v>
      </c>
      <c r="H100" s="45"/>
      <c r="I100" s="45"/>
      <c r="J100" s="45"/>
      <c r="K100" s="45"/>
      <c r="L100" s="45">
        <f t="shared" si="33"/>
        <v>714435.72</v>
      </c>
      <c r="M100" s="45"/>
      <c r="N100" s="45">
        <f t="shared" si="34"/>
        <v>714400</v>
      </c>
      <c r="O100" s="45">
        <f t="shared" si="35"/>
        <v>35.72</v>
      </c>
    </row>
    <row r="101" s="7" customFormat="1" ht="28.9" customHeight="1" spans="1:15">
      <c r="A101" s="32">
        <v>3</v>
      </c>
      <c r="B101" s="40" t="s">
        <v>23</v>
      </c>
      <c r="C101" s="41" t="s">
        <v>76</v>
      </c>
      <c r="D101" s="81"/>
      <c r="E101" s="52"/>
      <c r="F101" s="53"/>
      <c r="G101" s="45">
        <v>56250000</v>
      </c>
      <c r="H101" s="45"/>
      <c r="I101" s="45"/>
      <c r="J101" s="45"/>
      <c r="K101" s="45"/>
      <c r="L101" s="45">
        <f t="shared" si="33"/>
        <v>1710085.5</v>
      </c>
      <c r="M101" s="45"/>
      <c r="N101" s="45">
        <f t="shared" si="34"/>
        <v>1710000</v>
      </c>
      <c r="O101" s="45">
        <f t="shared" si="35"/>
        <v>85.5</v>
      </c>
    </row>
    <row r="102" s="6" customFormat="1" ht="28.9" customHeight="1" spans="1:15">
      <c r="A102" s="32"/>
      <c r="B102" s="79" t="s">
        <v>149</v>
      </c>
      <c r="C102" s="80"/>
      <c r="D102" s="58" t="s">
        <v>21</v>
      </c>
      <c r="E102" s="67" t="s">
        <v>22</v>
      </c>
      <c r="F102" s="59">
        <v>47678</v>
      </c>
      <c r="G102" s="38">
        <f>SUM(G103:G110)</f>
        <v>737000000</v>
      </c>
      <c r="H102" s="38">
        <v>3.29</v>
      </c>
      <c r="I102" s="38">
        <v>1</v>
      </c>
      <c r="J102" s="38">
        <v>0.06</v>
      </c>
      <c r="K102" s="38">
        <v>0.05</v>
      </c>
      <c r="L102" s="38">
        <f>SUM(L103:L110)</f>
        <v>24248512.365</v>
      </c>
      <c r="M102" s="38">
        <f>SUM(M103:M110)</f>
        <v>0</v>
      </c>
      <c r="N102" s="38">
        <f>SUM(N103:N110)</f>
        <v>24247300</v>
      </c>
      <c r="O102" s="38">
        <f>SUM(O103:O110)</f>
        <v>1212.365</v>
      </c>
    </row>
    <row r="103" s="5" customFormat="1" ht="28.9" customHeight="1" spans="1:15">
      <c r="A103" s="32">
        <v>1</v>
      </c>
      <c r="B103" s="40" t="s">
        <v>23</v>
      </c>
      <c r="C103" s="41" t="s">
        <v>148</v>
      </c>
      <c r="D103" s="68"/>
      <c r="E103" s="69"/>
      <c r="F103" s="63"/>
      <c r="G103" s="45">
        <v>9000000</v>
      </c>
      <c r="H103" s="45"/>
      <c r="I103" s="45"/>
      <c r="J103" s="45"/>
      <c r="K103" s="45"/>
      <c r="L103" s="45">
        <f t="shared" ref="L103:L110" si="36">SUM(M103:O103)</f>
        <v>296114.805</v>
      </c>
      <c r="M103" s="45"/>
      <c r="N103" s="45">
        <f t="shared" ref="N103:N110" si="37">G103*0.0329</f>
        <v>296100</v>
      </c>
      <c r="O103" s="45">
        <f t="shared" ref="O103:O110" si="38">(M103+N103)*0.00005</f>
        <v>14.805</v>
      </c>
    </row>
    <row r="104" s="5" customFormat="1" ht="28.9" customHeight="1" spans="1:15">
      <c r="A104" s="32">
        <v>2</v>
      </c>
      <c r="B104" s="40" t="s">
        <v>23</v>
      </c>
      <c r="C104" s="41" t="s">
        <v>150</v>
      </c>
      <c r="D104" s="68"/>
      <c r="E104" s="69"/>
      <c r="F104" s="63"/>
      <c r="G104" s="45">
        <v>12500000</v>
      </c>
      <c r="H104" s="45"/>
      <c r="I104" s="45"/>
      <c r="J104" s="45"/>
      <c r="K104" s="45"/>
      <c r="L104" s="45">
        <f t="shared" si="36"/>
        <v>411270.5625</v>
      </c>
      <c r="M104" s="45"/>
      <c r="N104" s="45">
        <f t="shared" si="37"/>
        <v>411250</v>
      </c>
      <c r="O104" s="45">
        <f t="shared" si="38"/>
        <v>20.5625</v>
      </c>
    </row>
    <row r="105" s="5" customFormat="1" ht="28.9" customHeight="1" spans="1:15">
      <c r="A105" s="32">
        <v>3</v>
      </c>
      <c r="B105" s="40" t="s">
        <v>23</v>
      </c>
      <c r="C105" s="41" t="s">
        <v>151</v>
      </c>
      <c r="D105" s="68"/>
      <c r="E105" s="69"/>
      <c r="F105" s="63"/>
      <c r="G105" s="45">
        <v>75000000</v>
      </c>
      <c r="H105" s="45"/>
      <c r="I105" s="45"/>
      <c r="J105" s="45"/>
      <c r="K105" s="45"/>
      <c r="L105" s="45">
        <f t="shared" si="36"/>
        <v>2467623.375</v>
      </c>
      <c r="M105" s="45"/>
      <c r="N105" s="45">
        <f t="shared" si="37"/>
        <v>2467500</v>
      </c>
      <c r="O105" s="45">
        <f t="shared" si="38"/>
        <v>123.375</v>
      </c>
    </row>
    <row r="106" s="5" customFormat="1" ht="28.9" customHeight="1" spans="1:15">
      <c r="A106" s="32">
        <v>4</v>
      </c>
      <c r="B106" s="40" t="s">
        <v>23</v>
      </c>
      <c r="C106" s="41" t="s">
        <v>152</v>
      </c>
      <c r="D106" s="68"/>
      <c r="E106" s="69"/>
      <c r="F106" s="63"/>
      <c r="G106" s="45">
        <v>15000000</v>
      </c>
      <c r="H106" s="45"/>
      <c r="I106" s="45"/>
      <c r="J106" s="45"/>
      <c r="K106" s="45"/>
      <c r="L106" s="45">
        <f t="shared" si="36"/>
        <v>493524.675</v>
      </c>
      <c r="M106" s="45"/>
      <c r="N106" s="45">
        <f t="shared" si="37"/>
        <v>493500</v>
      </c>
      <c r="O106" s="45">
        <f t="shared" si="38"/>
        <v>24.675</v>
      </c>
    </row>
    <row r="107" s="5" customFormat="1" ht="28.9" customHeight="1" spans="1:15">
      <c r="A107" s="32">
        <v>5</v>
      </c>
      <c r="B107" s="40" t="s">
        <v>23</v>
      </c>
      <c r="C107" s="41" t="s">
        <v>153</v>
      </c>
      <c r="D107" s="68"/>
      <c r="E107" s="69"/>
      <c r="F107" s="63"/>
      <c r="G107" s="45">
        <v>216000000</v>
      </c>
      <c r="H107" s="45"/>
      <c r="I107" s="45"/>
      <c r="J107" s="45"/>
      <c r="K107" s="45"/>
      <c r="L107" s="45">
        <f t="shared" si="36"/>
        <v>7106755.32</v>
      </c>
      <c r="M107" s="45"/>
      <c r="N107" s="45">
        <f t="shared" si="37"/>
        <v>7106400</v>
      </c>
      <c r="O107" s="45">
        <f t="shared" si="38"/>
        <v>355.32</v>
      </c>
    </row>
    <row r="108" s="5" customFormat="1" ht="28.9" customHeight="1" spans="1:15">
      <c r="A108" s="32">
        <v>6</v>
      </c>
      <c r="B108" s="40" t="s">
        <v>23</v>
      </c>
      <c r="C108" s="41" t="s">
        <v>75</v>
      </c>
      <c r="D108" s="68"/>
      <c r="E108" s="69"/>
      <c r="F108" s="63"/>
      <c r="G108" s="45">
        <v>243000000</v>
      </c>
      <c r="H108" s="45"/>
      <c r="I108" s="45"/>
      <c r="J108" s="45"/>
      <c r="K108" s="45"/>
      <c r="L108" s="45">
        <f t="shared" si="36"/>
        <v>7995099.735</v>
      </c>
      <c r="M108" s="45"/>
      <c r="N108" s="45">
        <f t="shared" si="37"/>
        <v>7994700</v>
      </c>
      <c r="O108" s="45">
        <f t="shared" si="38"/>
        <v>399.735</v>
      </c>
    </row>
    <row r="109" s="5" customFormat="1" ht="28.9" customHeight="1" spans="1:15">
      <c r="A109" s="32">
        <v>7</v>
      </c>
      <c r="B109" s="40" t="s">
        <v>23</v>
      </c>
      <c r="C109" s="41" t="s">
        <v>76</v>
      </c>
      <c r="D109" s="68"/>
      <c r="E109" s="69"/>
      <c r="F109" s="63"/>
      <c r="G109" s="45">
        <v>112500000</v>
      </c>
      <c r="H109" s="45"/>
      <c r="I109" s="45"/>
      <c r="J109" s="45"/>
      <c r="K109" s="45"/>
      <c r="L109" s="45">
        <f t="shared" si="36"/>
        <v>3701435.0625</v>
      </c>
      <c r="M109" s="45"/>
      <c r="N109" s="45">
        <f t="shared" si="37"/>
        <v>3701250</v>
      </c>
      <c r="O109" s="45">
        <f t="shared" si="38"/>
        <v>185.0625</v>
      </c>
    </row>
    <row r="110" s="5" customFormat="1" ht="28.9" customHeight="1" spans="1:15">
      <c r="A110" s="32">
        <v>8</v>
      </c>
      <c r="B110" s="40" t="s">
        <v>23</v>
      </c>
      <c r="C110" s="41" t="s">
        <v>154</v>
      </c>
      <c r="D110" s="68"/>
      <c r="E110" s="69"/>
      <c r="F110" s="63"/>
      <c r="G110" s="45">
        <v>54000000</v>
      </c>
      <c r="H110" s="45"/>
      <c r="I110" s="45"/>
      <c r="J110" s="45"/>
      <c r="K110" s="45"/>
      <c r="L110" s="45">
        <f t="shared" si="36"/>
        <v>1776688.83</v>
      </c>
      <c r="M110" s="45"/>
      <c r="N110" s="45">
        <f t="shared" si="37"/>
        <v>1776600</v>
      </c>
      <c r="O110" s="45">
        <f t="shared" si="38"/>
        <v>88.83</v>
      </c>
    </row>
    <row r="111" s="8" customFormat="1" ht="28.9" customHeight="1" spans="1:15">
      <c r="A111" s="79" t="s">
        <v>155</v>
      </c>
      <c r="B111" s="82"/>
      <c r="C111" s="80"/>
      <c r="D111" s="58" t="s">
        <v>21</v>
      </c>
      <c r="E111" s="67" t="s">
        <v>22</v>
      </c>
      <c r="F111" s="59">
        <v>48028</v>
      </c>
      <c r="G111" s="38">
        <f>SUM(G112:G114)</f>
        <v>104000000</v>
      </c>
      <c r="H111" s="38">
        <v>3.34</v>
      </c>
      <c r="I111" s="38">
        <v>0.08</v>
      </c>
      <c r="J111" s="38">
        <v>0.064</v>
      </c>
      <c r="K111" s="38">
        <v>0.05</v>
      </c>
      <c r="L111" s="38">
        <f>SUM(L112:L114)</f>
        <v>3473773.68</v>
      </c>
      <c r="M111" s="38">
        <f>SUM(M112:M114)</f>
        <v>0</v>
      </c>
      <c r="N111" s="38">
        <f>SUM(N112:N114)</f>
        <v>3473600</v>
      </c>
      <c r="O111" s="38">
        <f>SUM(O112:O114)</f>
        <v>173.68</v>
      </c>
    </row>
    <row r="112" s="5" customFormat="1" ht="28.9" customHeight="1" spans="1:15">
      <c r="A112" s="32">
        <v>1</v>
      </c>
      <c r="B112" s="40" t="s">
        <v>82</v>
      </c>
      <c r="C112" s="40" t="s">
        <v>156</v>
      </c>
      <c r="D112" s="68"/>
      <c r="E112" s="69"/>
      <c r="F112" s="63"/>
      <c r="G112" s="45">
        <v>20000000</v>
      </c>
      <c r="H112" s="45"/>
      <c r="I112" s="45"/>
      <c r="J112" s="45"/>
      <c r="K112" s="45"/>
      <c r="L112" s="45">
        <f>SUM(M112:O112)</f>
        <v>668033.4</v>
      </c>
      <c r="M112" s="45"/>
      <c r="N112" s="45">
        <f>G112*0.0334</f>
        <v>668000</v>
      </c>
      <c r="O112" s="45">
        <f>(M112+N112)*0.00005</f>
        <v>33.4</v>
      </c>
    </row>
    <row r="113" s="5" customFormat="1" ht="28.9" customHeight="1" spans="1:15">
      <c r="A113" s="32">
        <v>2</v>
      </c>
      <c r="B113" s="40" t="s">
        <v>157</v>
      </c>
      <c r="C113" s="40" t="s">
        <v>158</v>
      </c>
      <c r="D113" s="68"/>
      <c r="E113" s="69"/>
      <c r="F113" s="63"/>
      <c r="G113" s="45">
        <v>10000000</v>
      </c>
      <c r="H113" s="45"/>
      <c r="I113" s="45"/>
      <c r="J113" s="45"/>
      <c r="K113" s="45"/>
      <c r="L113" s="45">
        <f>SUM(M113:O113)</f>
        <v>334016.7</v>
      </c>
      <c r="M113" s="45"/>
      <c r="N113" s="45">
        <f>G113*0.0334</f>
        <v>334000</v>
      </c>
      <c r="O113" s="45">
        <f>(M113+N113)*0.00005</f>
        <v>16.7</v>
      </c>
    </row>
    <row r="114" s="5" customFormat="1" ht="28.9" customHeight="1" spans="1:15">
      <c r="A114" s="32">
        <v>3</v>
      </c>
      <c r="B114" s="40" t="s">
        <v>45</v>
      </c>
      <c r="C114" s="40" t="s">
        <v>159</v>
      </c>
      <c r="D114" s="68"/>
      <c r="E114" s="69"/>
      <c r="F114" s="63"/>
      <c r="G114" s="45">
        <v>74000000</v>
      </c>
      <c r="H114" s="45"/>
      <c r="I114" s="45"/>
      <c r="J114" s="45"/>
      <c r="K114" s="45"/>
      <c r="L114" s="45">
        <f>SUM(M114:O114)</f>
        <v>2471723.58</v>
      </c>
      <c r="M114" s="45"/>
      <c r="N114" s="45">
        <f>G114*0.0334</f>
        <v>2471600</v>
      </c>
      <c r="O114" s="45">
        <f>(M114+N114)*0.00005</f>
        <v>123.58</v>
      </c>
    </row>
    <row r="115" s="6" customFormat="1" ht="28.9" customHeight="1" spans="1:15">
      <c r="A115" s="79" t="s">
        <v>160</v>
      </c>
      <c r="B115" s="82"/>
      <c r="C115" s="80"/>
      <c r="D115" s="58" t="s">
        <v>21</v>
      </c>
      <c r="E115" s="67" t="s">
        <v>22</v>
      </c>
      <c r="F115" s="59">
        <v>48081</v>
      </c>
      <c r="G115" s="38">
        <f>SUM(G116:G117)</f>
        <v>79000000</v>
      </c>
      <c r="H115" s="38">
        <v>3.12</v>
      </c>
      <c r="I115" s="38">
        <v>0.08</v>
      </c>
      <c r="J115" s="38">
        <v>0.064</v>
      </c>
      <c r="K115" s="38">
        <v>0.05</v>
      </c>
      <c r="L115" s="38">
        <f>SUM(L116:L117)</f>
        <v>2464923.24</v>
      </c>
      <c r="M115" s="38">
        <f>SUM(M116:M117)</f>
        <v>0</v>
      </c>
      <c r="N115" s="38">
        <f>SUM(N116:N117)</f>
        <v>2464800</v>
      </c>
      <c r="O115" s="38">
        <f>SUM(O116:O117)</f>
        <v>123.24</v>
      </c>
    </row>
    <row r="116" s="5" customFormat="1" ht="28.9" customHeight="1" spans="1:15">
      <c r="A116" s="32">
        <v>1</v>
      </c>
      <c r="B116" s="40" t="s">
        <v>161</v>
      </c>
      <c r="C116" s="40" t="s">
        <v>140</v>
      </c>
      <c r="D116" s="68"/>
      <c r="E116" s="69"/>
      <c r="F116" s="63"/>
      <c r="G116" s="45">
        <v>30000000</v>
      </c>
      <c r="H116" s="45"/>
      <c r="I116" s="45"/>
      <c r="J116" s="45"/>
      <c r="K116" s="45"/>
      <c r="L116" s="45">
        <f>SUM(M116:O116)</f>
        <v>936046.8</v>
      </c>
      <c r="M116" s="45"/>
      <c r="N116" s="45">
        <f>G116*0.0312</f>
        <v>936000</v>
      </c>
      <c r="O116" s="45">
        <f>(M116+N116)*0.00005</f>
        <v>46.8</v>
      </c>
    </row>
    <row r="117" s="5" customFormat="1" ht="28.9" customHeight="1" spans="1:15">
      <c r="A117" s="32">
        <v>2</v>
      </c>
      <c r="B117" s="40" t="s">
        <v>162</v>
      </c>
      <c r="C117" s="40" t="s">
        <v>159</v>
      </c>
      <c r="D117" s="68"/>
      <c r="E117" s="69"/>
      <c r="F117" s="63"/>
      <c r="G117" s="45">
        <v>49000000</v>
      </c>
      <c r="H117" s="45"/>
      <c r="I117" s="45"/>
      <c r="J117" s="45"/>
      <c r="K117" s="45"/>
      <c r="L117" s="45">
        <f>SUM(M117:O117)</f>
        <v>1528876.44</v>
      </c>
      <c r="M117" s="45"/>
      <c r="N117" s="45">
        <f>G117*0.0312</f>
        <v>1528800</v>
      </c>
      <c r="O117" s="45">
        <f>(M117+N117)*0.00005</f>
        <v>76.44</v>
      </c>
    </row>
    <row r="118" s="6" customFormat="1" ht="28.9" customHeight="1" spans="1:15">
      <c r="A118" s="79" t="s">
        <v>163</v>
      </c>
      <c r="B118" s="82"/>
      <c r="C118" s="80"/>
      <c r="D118" s="58" t="s">
        <v>21</v>
      </c>
      <c r="E118" s="67" t="s">
        <v>22</v>
      </c>
      <c r="F118" s="59">
        <v>48150</v>
      </c>
      <c r="G118" s="38">
        <f>SUM(G119:G122)</f>
        <v>217000000</v>
      </c>
      <c r="H118" s="38">
        <v>3.13</v>
      </c>
      <c r="I118" s="38">
        <v>0.8</v>
      </c>
      <c r="J118" s="38">
        <v>0.048</v>
      </c>
      <c r="K118" s="38">
        <v>0.05</v>
      </c>
      <c r="L118" s="38">
        <f>SUM(L119:L122)</f>
        <v>6792439.605</v>
      </c>
      <c r="M118" s="38">
        <f>SUM(M119:M122)</f>
        <v>0</v>
      </c>
      <c r="N118" s="38">
        <f>SUM(N119:N122)</f>
        <v>6792100</v>
      </c>
      <c r="O118" s="38">
        <f>SUM(O119:O122)</f>
        <v>339.605</v>
      </c>
    </row>
    <row r="119" s="5" customFormat="1" ht="28.9" customHeight="1" spans="1:15">
      <c r="A119" s="32">
        <v>1</v>
      </c>
      <c r="B119" s="40" t="s">
        <v>82</v>
      </c>
      <c r="C119" s="40" t="s">
        <v>164</v>
      </c>
      <c r="D119" s="68"/>
      <c r="E119" s="69"/>
      <c r="F119" s="63"/>
      <c r="G119" s="45">
        <v>40000000</v>
      </c>
      <c r="H119" s="45"/>
      <c r="I119" s="45"/>
      <c r="J119" s="45"/>
      <c r="K119" s="45"/>
      <c r="L119" s="45">
        <f>SUM(M119:O119)</f>
        <v>1252062.6</v>
      </c>
      <c r="M119" s="45"/>
      <c r="N119" s="45">
        <f>G119*0.0313</f>
        <v>1252000</v>
      </c>
      <c r="O119" s="45">
        <f>(M119+N119)*0.00005</f>
        <v>62.6</v>
      </c>
    </row>
    <row r="120" s="5" customFormat="1" ht="28.9" customHeight="1" spans="1:15">
      <c r="A120" s="32">
        <v>2</v>
      </c>
      <c r="B120" s="40" t="s">
        <v>82</v>
      </c>
      <c r="C120" s="40" t="s">
        <v>165</v>
      </c>
      <c r="D120" s="68"/>
      <c r="E120" s="69"/>
      <c r="F120" s="63"/>
      <c r="G120" s="45">
        <v>40000000</v>
      </c>
      <c r="H120" s="45"/>
      <c r="I120" s="45"/>
      <c r="J120" s="45"/>
      <c r="K120" s="45"/>
      <c r="L120" s="45">
        <f>SUM(M120:O120)</f>
        <v>1252062.6</v>
      </c>
      <c r="M120" s="45"/>
      <c r="N120" s="45">
        <f>G120*0.0313</f>
        <v>1252000</v>
      </c>
      <c r="O120" s="45">
        <f>(M120+N120)*0.00005</f>
        <v>62.6</v>
      </c>
    </row>
    <row r="121" s="5" customFormat="1" ht="28.9" customHeight="1" spans="1:15">
      <c r="A121" s="32">
        <v>3</v>
      </c>
      <c r="B121" s="40" t="s">
        <v>82</v>
      </c>
      <c r="C121" s="40" t="s">
        <v>158</v>
      </c>
      <c r="D121" s="68"/>
      <c r="E121" s="69"/>
      <c r="F121" s="63"/>
      <c r="G121" s="45">
        <v>20000000</v>
      </c>
      <c r="H121" s="45"/>
      <c r="I121" s="45"/>
      <c r="J121" s="45"/>
      <c r="K121" s="45"/>
      <c r="L121" s="45">
        <f>SUM(M121:O121)</f>
        <v>626031.3</v>
      </c>
      <c r="M121" s="45"/>
      <c r="N121" s="45">
        <f>G121*0.0313</f>
        <v>626000</v>
      </c>
      <c r="O121" s="45">
        <f>(M121+N121)*0.00005</f>
        <v>31.3</v>
      </c>
    </row>
    <row r="122" s="5" customFormat="1" ht="28.9" customHeight="1" spans="1:15">
      <c r="A122" s="32">
        <v>4</v>
      </c>
      <c r="B122" s="40" t="s">
        <v>45</v>
      </c>
      <c r="C122" s="40" t="s">
        <v>159</v>
      </c>
      <c r="D122" s="68"/>
      <c r="E122" s="69"/>
      <c r="F122" s="63"/>
      <c r="G122" s="45">
        <v>117000000</v>
      </c>
      <c r="H122" s="45"/>
      <c r="I122" s="45"/>
      <c r="J122" s="45"/>
      <c r="K122" s="45"/>
      <c r="L122" s="45">
        <f>SUM(M122:O122)</f>
        <v>3662283.105</v>
      </c>
      <c r="M122" s="45"/>
      <c r="N122" s="45">
        <f>G122*0.0313</f>
        <v>3662100</v>
      </c>
      <c r="O122" s="45">
        <f>(M122+N122)*0.00005</f>
        <v>183.105</v>
      </c>
    </row>
    <row r="123" s="4" customFormat="1" ht="28.9" customHeight="1" spans="1:15">
      <c r="A123" s="28" t="s">
        <v>166</v>
      </c>
      <c r="B123" s="29"/>
      <c r="C123" s="29"/>
      <c r="D123" s="29"/>
      <c r="E123" s="29"/>
      <c r="F123" s="30"/>
      <c r="G123" s="83">
        <f>G124+G126+G128+G130+G132+G134+G136+G138+G140+G142+G144</f>
        <v>7706960000</v>
      </c>
      <c r="H123" s="83"/>
      <c r="I123" s="83"/>
      <c r="J123" s="83"/>
      <c r="K123" s="83"/>
      <c r="L123" s="83">
        <f>L124+L126+L128+L130+L132+L134+L136+L138+L140+L142+L144</f>
        <v>239209963.9002</v>
      </c>
      <c r="M123" s="83">
        <f>M124+M126+M128+M130+M132+M134+M136+M138+M140+M142+M144</f>
        <v>0</v>
      </c>
      <c r="N123" s="83">
        <f>N124+N126+N128+N130+N132+N134+N136+N138+N140+N142+N144</f>
        <v>239198004</v>
      </c>
      <c r="O123" s="83">
        <f>O124+O126+O128+O130+O132+O134+O136+O138+O140+O142+O144</f>
        <v>11959.9002</v>
      </c>
    </row>
    <row r="124" s="6" customFormat="1" ht="28.9" customHeight="1" spans="1:15">
      <c r="A124" s="54" t="s">
        <v>167</v>
      </c>
      <c r="B124" s="84"/>
      <c r="C124" s="55"/>
      <c r="D124" s="58" t="s">
        <v>35</v>
      </c>
      <c r="E124" s="67" t="s">
        <v>36</v>
      </c>
      <c r="F124" s="59">
        <v>44885</v>
      </c>
      <c r="G124" s="38">
        <f t="shared" ref="G124:G128" si="39">SUM(G125)</f>
        <v>156960000</v>
      </c>
      <c r="H124" s="38">
        <v>3.24</v>
      </c>
      <c r="I124" s="38">
        <v>1</v>
      </c>
      <c r="J124" s="38">
        <v>0.1</v>
      </c>
      <c r="K124" s="38">
        <v>0.05</v>
      </c>
      <c r="L124" s="38">
        <f>SUM(L125)</f>
        <v>5085758.2752</v>
      </c>
      <c r="M124" s="38">
        <f>SUM(M125)</f>
        <v>0</v>
      </c>
      <c r="N124" s="38">
        <f>SUM(N125)</f>
        <v>5085504</v>
      </c>
      <c r="O124" s="38">
        <f>SUM(O125)</f>
        <v>254.2752</v>
      </c>
    </row>
    <row r="125" s="5" customFormat="1" ht="28.9" customHeight="1" spans="1:15">
      <c r="A125" s="32">
        <v>1</v>
      </c>
      <c r="B125" s="40" t="s">
        <v>168</v>
      </c>
      <c r="C125" s="41" t="s">
        <v>169</v>
      </c>
      <c r="D125" s="68"/>
      <c r="E125" s="85"/>
      <c r="F125" s="86"/>
      <c r="G125" s="45">
        <v>156960000</v>
      </c>
      <c r="H125" s="45"/>
      <c r="I125" s="45"/>
      <c r="J125" s="45"/>
      <c r="K125" s="45"/>
      <c r="L125" s="45">
        <f t="shared" ref="L125:L129" si="40">SUM(M125:O125)</f>
        <v>5085758.2752</v>
      </c>
      <c r="M125" s="45"/>
      <c r="N125" s="45">
        <f>G125*0.0324</f>
        <v>5085504</v>
      </c>
      <c r="O125" s="45">
        <f t="shared" ref="O125:O129" si="41">(M125+N125)*0.00005</f>
        <v>254.2752</v>
      </c>
    </row>
    <row r="126" s="6" customFormat="1" ht="28.9" customHeight="1" spans="1:15">
      <c r="A126" s="87" t="s">
        <v>170</v>
      </c>
      <c r="B126" s="88"/>
      <c r="C126" s="89"/>
      <c r="D126" s="58" t="s">
        <v>35</v>
      </c>
      <c r="E126" s="67" t="s">
        <v>36</v>
      </c>
      <c r="F126" s="59">
        <v>44885</v>
      </c>
      <c r="G126" s="38">
        <f t="shared" si="39"/>
        <v>200000000</v>
      </c>
      <c r="H126" s="38">
        <v>3.24</v>
      </c>
      <c r="I126" s="38">
        <v>1</v>
      </c>
      <c r="J126" s="38">
        <v>0.1</v>
      </c>
      <c r="K126" s="38">
        <v>0.05</v>
      </c>
      <c r="L126" s="38">
        <f>SUM(L127)</f>
        <v>6480324</v>
      </c>
      <c r="M126" s="38">
        <f>SUM(M127)</f>
        <v>0</v>
      </c>
      <c r="N126" s="38">
        <f>SUM(N127)</f>
        <v>6480000</v>
      </c>
      <c r="O126" s="38">
        <f>SUM(O127)</f>
        <v>324</v>
      </c>
    </row>
    <row r="127" s="5" customFormat="1" ht="28.9" customHeight="1" spans="1:15">
      <c r="A127" s="32">
        <v>1</v>
      </c>
      <c r="B127" s="90" t="s">
        <v>72</v>
      </c>
      <c r="C127" s="41" t="s">
        <v>171</v>
      </c>
      <c r="D127" s="91"/>
      <c r="E127" s="85"/>
      <c r="F127" s="86"/>
      <c r="G127" s="45">
        <v>200000000</v>
      </c>
      <c r="H127" s="45"/>
      <c r="I127" s="45"/>
      <c r="J127" s="45"/>
      <c r="K127" s="45"/>
      <c r="L127" s="45">
        <f t="shared" si="40"/>
        <v>6480324</v>
      </c>
      <c r="M127" s="45"/>
      <c r="N127" s="45">
        <f>G127*0.0324</f>
        <v>6480000</v>
      </c>
      <c r="O127" s="45">
        <f t="shared" si="41"/>
        <v>324</v>
      </c>
    </row>
    <row r="128" s="6" customFormat="1" ht="28.9" customHeight="1" spans="1:15">
      <c r="A128" s="87" t="s">
        <v>172</v>
      </c>
      <c r="B128" s="88"/>
      <c r="C128" s="89"/>
      <c r="D128" s="58" t="s">
        <v>21</v>
      </c>
      <c r="E128" s="67" t="s">
        <v>22</v>
      </c>
      <c r="F128" s="59">
        <v>46274</v>
      </c>
      <c r="G128" s="38">
        <f t="shared" si="39"/>
        <v>300000000</v>
      </c>
      <c r="H128" s="38">
        <v>2.81</v>
      </c>
      <c r="I128" s="38">
        <v>1</v>
      </c>
      <c r="J128" s="38">
        <v>0.1</v>
      </c>
      <c r="K128" s="38">
        <v>0.05</v>
      </c>
      <c r="L128" s="38">
        <f>SUM(L129)</f>
        <v>8430421.5</v>
      </c>
      <c r="M128" s="38">
        <f>SUM(M129)</f>
        <v>0</v>
      </c>
      <c r="N128" s="38">
        <f>SUM(N129)</f>
        <v>8430000</v>
      </c>
      <c r="O128" s="38">
        <f>SUM(O129)</f>
        <v>421.5</v>
      </c>
    </row>
    <row r="129" s="5" customFormat="1" ht="28.9" customHeight="1" spans="1:15">
      <c r="A129" s="32">
        <v>1</v>
      </c>
      <c r="B129" s="90" t="s">
        <v>173</v>
      </c>
      <c r="C129" s="41" t="s">
        <v>174</v>
      </c>
      <c r="D129" s="92"/>
      <c r="E129" s="58"/>
      <c r="F129" s="67"/>
      <c r="G129" s="45">
        <v>300000000</v>
      </c>
      <c r="H129" s="45"/>
      <c r="I129" s="45"/>
      <c r="J129" s="45"/>
      <c r="K129" s="45"/>
      <c r="L129" s="45">
        <f t="shared" si="40"/>
        <v>8430421.5</v>
      </c>
      <c r="M129" s="45"/>
      <c r="N129" s="45">
        <f>G129*0.0281</f>
        <v>8430000</v>
      </c>
      <c r="O129" s="45">
        <f t="shared" si="41"/>
        <v>421.5</v>
      </c>
    </row>
    <row r="130" s="6" customFormat="1" ht="28.9" customHeight="1" spans="1:15">
      <c r="A130" s="54" t="s">
        <v>175</v>
      </c>
      <c r="B130" s="84"/>
      <c r="C130" s="55"/>
      <c r="D130" s="58" t="s">
        <v>35</v>
      </c>
      <c r="E130" s="67" t="s">
        <v>36</v>
      </c>
      <c r="F130" s="59">
        <v>45962</v>
      </c>
      <c r="G130" s="38">
        <f t="shared" ref="G130:G134" si="42">SUM(G131)</f>
        <v>25000000</v>
      </c>
      <c r="H130" s="38">
        <v>3.93</v>
      </c>
      <c r="I130" s="38">
        <v>1</v>
      </c>
      <c r="J130" s="38">
        <v>0.1</v>
      </c>
      <c r="K130" s="38">
        <v>0.05</v>
      </c>
      <c r="L130" s="38">
        <f>SUM(L131)</f>
        <v>982549.125</v>
      </c>
      <c r="M130" s="38">
        <f>SUM(M131)</f>
        <v>0</v>
      </c>
      <c r="N130" s="38">
        <f>SUM(N131)</f>
        <v>982500</v>
      </c>
      <c r="O130" s="38">
        <f>SUM(O131)</f>
        <v>49.125</v>
      </c>
    </row>
    <row r="131" s="5" customFormat="1" ht="28.9" customHeight="1" spans="1:15">
      <c r="A131" s="32">
        <v>1</v>
      </c>
      <c r="B131" s="90" t="s">
        <v>168</v>
      </c>
      <c r="C131" s="93" t="s">
        <v>169</v>
      </c>
      <c r="D131" s="94"/>
      <c r="E131" s="58"/>
      <c r="F131" s="67"/>
      <c r="G131" s="45">
        <v>25000000</v>
      </c>
      <c r="H131" s="45"/>
      <c r="I131" s="45"/>
      <c r="J131" s="45"/>
      <c r="K131" s="45"/>
      <c r="L131" s="45">
        <f t="shared" ref="L131:L135" si="43">SUM(M131:O131)</f>
        <v>982549.125</v>
      </c>
      <c r="M131" s="45"/>
      <c r="N131" s="45">
        <f>G131*0.0393</f>
        <v>982500</v>
      </c>
      <c r="O131" s="45">
        <f t="shared" ref="O131:O135" si="44">(M131+N131)*0.00005</f>
        <v>49.125</v>
      </c>
    </row>
    <row r="132" s="6" customFormat="1" ht="28.9" customHeight="1" spans="1:15">
      <c r="A132" s="79" t="s">
        <v>176</v>
      </c>
      <c r="B132" s="82"/>
      <c r="C132" s="80"/>
      <c r="D132" s="95" t="s">
        <v>177</v>
      </c>
      <c r="E132" s="67" t="s">
        <v>36</v>
      </c>
      <c r="F132" s="59">
        <v>45383</v>
      </c>
      <c r="G132" s="38">
        <f t="shared" si="42"/>
        <v>3300000000</v>
      </c>
      <c r="H132" s="38">
        <v>3.25</v>
      </c>
      <c r="I132" s="38">
        <v>1</v>
      </c>
      <c r="J132" s="38">
        <v>0.1</v>
      </c>
      <c r="K132" s="38">
        <v>0.05</v>
      </c>
      <c r="L132" s="38">
        <f>SUM(L133)</f>
        <v>107255362.5</v>
      </c>
      <c r="M132" s="38">
        <f>SUM(M133)</f>
        <v>0</v>
      </c>
      <c r="N132" s="38">
        <f>SUM(N133)</f>
        <v>107250000</v>
      </c>
      <c r="O132" s="38">
        <f>SUM(O133)</f>
        <v>5362.5</v>
      </c>
    </row>
    <row r="133" s="5" customFormat="1" ht="28.9" customHeight="1" spans="1:15">
      <c r="A133" s="32">
        <v>1</v>
      </c>
      <c r="B133" s="96" t="s">
        <v>79</v>
      </c>
      <c r="C133" s="47" t="s">
        <v>178</v>
      </c>
      <c r="D133" s="68"/>
      <c r="E133" s="85"/>
      <c r="F133" s="86"/>
      <c r="G133" s="45">
        <v>3300000000</v>
      </c>
      <c r="H133" s="45"/>
      <c r="I133" s="45"/>
      <c r="J133" s="45"/>
      <c r="K133" s="45"/>
      <c r="L133" s="45">
        <f t="shared" si="43"/>
        <v>107255362.5</v>
      </c>
      <c r="M133" s="45"/>
      <c r="N133" s="45">
        <f>G133*0.0325</f>
        <v>107250000</v>
      </c>
      <c r="O133" s="45">
        <f t="shared" si="44"/>
        <v>5362.5</v>
      </c>
    </row>
    <row r="134" s="6" customFormat="1" ht="28.9" customHeight="1" spans="1:15">
      <c r="A134" s="33" t="s">
        <v>179</v>
      </c>
      <c r="B134" s="97"/>
      <c r="C134" s="34"/>
      <c r="D134" s="95" t="s">
        <v>180</v>
      </c>
      <c r="E134" s="67" t="s">
        <v>36</v>
      </c>
      <c r="F134" s="59">
        <v>44743</v>
      </c>
      <c r="G134" s="38">
        <f t="shared" si="42"/>
        <v>1200000000</v>
      </c>
      <c r="H134" s="38">
        <v>3.18</v>
      </c>
      <c r="I134" s="38">
        <v>0.5</v>
      </c>
      <c r="J134" s="38">
        <v>0.1</v>
      </c>
      <c r="K134" s="38">
        <v>0.05</v>
      </c>
      <c r="L134" s="38">
        <f>SUM(L135)</f>
        <v>38161908</v>
      </c>
      <c r="M134" s="38">
        <f>SUM(M135)</f>
        <v>0</v>
      </c>
      <c r="N134" s="38">
        <f>SUM(N135)</f>
        <v>38160000</v>
      </c>
      <c r="O134" s="38">
        <f>SUM(O135)</f>
        <v>1908</v>
      </c>
    </row>
    <row r="135" s="5" customFormat="1" ht="28.9" customHeight="1" spans="1:15">
      <c r="A135" s="32">
        <v>1</v>
      </c>
      <c r="B135" s="96" t="s">
        <v>79</v>
      </c>
      <c r="C135" s="47" t="s">
        <v>181</v>
      </c>
      <c r="D135" s="68"/>
      <c r="E135" s="85"/>
      <c r="F135" s="86"/>
      <c r="G135" s="45">
        <v>1200000000</v>
      </c>
      <c r="H135" s="45"/>
      <c r="I135" s="45"/>
      <c r="J135" s="45"/>
      <c r="K135" s="45"/>
      <c r="L135" s="45">
        <f t="shared" si="43"/>
        <v>38161908</v>
      </c>
      <c r="M135" s="45"/>
      <c r="N135" s="45">
        <f t="shared" ref="N135:N139" si="45">G135*0.0318</f>
        <v>38160000</v>
      </c>
      <c r="O135" s="45">
        <f t="shared" si="44"/>
        <v>1908</v>
      </c>
    </row>
    <row r="136" s="6" customFormat="1" ht="28.9" customHeight="1" spans="1:15">
      <c r="A136" s="79" t="s">
        <v>182</v>
      </c>
      <c r="B136" s="82"/>
      <c r="C136" s="80"/>
      <c r="D136" s="95" t="s">
        <v>180</v>
      </c>
      <c r="E136" s="67" t="s">
        <v>36</v>
      </c>
      <c r="F136" s="59">
        <v>44743</v>
      </c>
      <c r="G136" s="38">
        <f t="shared" ref="G136:G140" si="46">SUM(G137)</f>
        <v>460000000</v>
      </c>
      <c r="H136" s="38">
        <v>3.18</v>
      </c>
      <c r="I136" s="38">
        <v>0.5</v>
      </c>
      <c r="J136" s="38">
        <v>0.1</v>
      </c>
      <c r="K136" s="38">
        <v>0.05</v>
      </c>
      <c r="L136" s="38">
        <f>SUM(L137)</f>
        <v>14628731.4</v>
      </c>
      <c r="M136" s="38">
        <f>SUM(M137)</f>
        <v>0</v>
      </c>
      <c r="N136" s="38">
        <f>SUM(N137)</f>
        <v>14628000</v>
      </c>
      <c r="O136" s="38">
        <f>SUM(O137)</f>
        <v>731.4</v>
      </c>
    </row>
    <row r="137" s="5" customFormat="1" ht="28.9" customHeight="1" spans="1:15">
      <c r="A137" s="32">
        <v>1</v>
      </c>
      <c r="B137" s="96" t="s">
        <v>183</v>
      </c>
      <c r="C137" s="47" t="s">
        <v>184</v>
      </c>
      <c r="D137" s="95"/>
      <c r="E137" s="67"/>
      <c r="F137" s="59"/>
      <c r="G137" s="45">
        <v>460000000</v>
      </c>
      <c r="H137" s="45"/>
      <c r="I137" s="45"/>
      <c r="J137" s="45"/>
      <c r="K137" s="45"/>
      <c r="L137" s="45">
        <f t="shared" ref="L137:L141" si="47">SUM(M137:O137)</f>
        <v>14628731.4</v>
      </c>
      <c r="M137" s="45"/>
      <c r="N137" s="45">
        <f t="shared" si="45"/>
        <v>14628000</v>
      </c>
      <c r="O137" s="45">
        <f t="shared" ref="O137:O141" si="48">(M137+N137)*0.00005</f>
        <v>731.4</v>
      </c>
    </row>
    <row r="138" s="6" customFormat="1" ht="28.9" customHeight="1" spans="1:15">
      <c r="A138" s="79" t="s">
        <v>185</v>
      </c>
      <c r="B138" s="82"/>
      <c r="C138" s="80"/>
      <c r="D138" s="95" t="s">
        <v>180</v>
      </c>
      <c r="E138" s="67" t="s">
        <v>36</v>
      </c>
      <c r="F138" s="59">
        <v>44743</v>
      </c>
      <c r="G138" s="38">
        <f t="shared" si="46"/>
        <v>490000000</v>
      </c>
      <c r="H138" s="38">
        <v>3.18</v>
      </c>
      <c r="I138" s="38">
        <v>0.5</v>
      </c>
      <c r="J138" s="38">
        <v>0.1</v>
      </c>
      <c r="K138" s="38">
        <v>0.05</v>
      </c>
      <c r="L138" s="38">
        <f>SUM(L139)</f>
        <v>15582779.1</v>
      </c>
      <c r="M138" s="38">
        <f>SUM(M139)</f>
        <v>0</v>
      </c>
      <c r="N138" s="38">
        <f>SUM(N139)</f>
        <v>15582000</v>
      </c>
      <c r="O138" s="38">
        <f>SUM(O139)</f>
        <v>779.1</v>
      </c>
    </row>
    <row r="139" s="5" customFormat="1" ht="28.9" customHeight="1" spans="1:15">
      <c r="A139" s="32">
        <v>1</v>
      </c>
      <c r="B139" s="96" t="s">
        <v>183</v>
      </c>
      <c r="C139" s="47" t="s">
        <v>186</v>
      </c>
      <c r="D139" s="95"/>
      <c r="E139" s="67"/>
      <c r="F139" s="59"/>
      <c r="G139" s="45">
        <v>490000000</v>
      </c>
      <c r="H139" s="45"/>
      <c r="I139" s="45"/>
      <c r="J139" s="45"/>
      <c r="K139" s="45"/>
      <c r="L139" s="45">
        <f t="shared" si="47"/>
        <v>15582779.1</v>
      </c>
      <c r="M139" s="45"/>
      <c r="N139" s="45">
        <f t="shared" si="45"/>
        <v>15582000</v>
      </c>
      <c r="O139" s="45">
        <f t="shared" si="48"/>
        <v>779.1</v>
      </c>
    </row>
    <row r="140" s="6" customFormat="1" ht="28.9" customHeight="1" spans="1:15">
      <c r="A140" s="79" t="s">
        <v>187</v>
      </c>
      <c r="B140" s="82"/>
      <c r="C140" s="80"/>
      <c r="D140" s="58" t="s">
        <v>78</v>
      </c>
      <c r="E140" s="67" t="s">
        <v>36</v>
      </c>
      <c r="F140" s="59">
        <v>45806</v>
      </c>
      <c r="G140" s="38">
        <f t="shared" si="46"/>
        <v>800000000</v>
      </c>
      <c r="H140" s="38">
        <v>2.42</v>
      </c>
      <c r="I140" s="38">
        <v>1</v>
      </c>
      <c r="J140" s="38">
        <v>0.08</v>
      </c>
      <c r="K140" s="38">
        <v>0.05</v>
      </c>
      <c r="L140" s="38">
        <f>SUM(L141)</f>
        <v>19360968</v>
      </c>
      <c r="M140" s="38">
        <f>SUM(M141)</f>
        <v>0</v>
      </c>
      <c r="N140" s="38">
        <f>SUM(N141)</f>
        <v>19360000</v>
      </c>
      <c r="O140" s="38">
        <f>SUM(O141)</f>
        <v>968</v>
      </c>
    </row>
    <row r="141" s="5" customFormat="1" ht="28.9" customHeight="1" spans="1:15">
      <c r="A141" s="32">
        <v>1</v>
      </c>
      <c r="B141" s="96" t="s">
        <v>79</v>
      </c>
      <c r="C141" s="98" t="s">
        <v>178</v>
      </c>
      <c r="D141" s="91"/>
      <c r="E141" s="85"/>
      <c r="F141" s="86"/>
      <c r="G141" s="45">
        <v>800000000</v>
      </c>
      <c r="H141" s="45"/>
      <c r="I141" s="45"/>
      <c r="J141" s="45"/>
      <c r="K141" s="45"/>
      <c r="L141" s="45">
        <f t="shared" si="47"/>
        <v>19360968</v>
      </c>
      <c r="M141" s="45"/>
      <c r="N141" s="45">
        <f>G141*0.0242</f>
        <v>19360000</v>
      </c>
      <c r="O141" s="45">
        <f t="shared" si="48"/>
        <v>968</v>
      </c>
    </row>
    <row r="142" s="6" customFormat="1" ht="28.9" customHeight="1" spans="1:15">
      <c r="A142" s="79" t="s">
        <v>188</v>
      </c>
      <c r="B142" s="82"/>
      <c r="C142" s="80"/>
      <c r="D142" s="58" t="s">
        <v>78</v>
      </c>
      <c r="E142" s="67" t="s">
        <v>36</v>
      </c>
      <c r="F142" s="59">
        <v>45887</v>
      </c>
      <c r="G142" s="38">
        <f>SUM(G143)</f>
        <v>75000000</v>
      </c>
      <c r="H142" s="38">
        <v>3.08</v>
      </c>
      <c r="I142" s="38">
        <v>1</v>
      </c>
      <c r="J142" s="38">
        <v>0.06</v>
      </c>
      <c r="K142" s="38">
        <v>0.05</v>
      </c>
      <c r="L142" s="38">
        <f>SUM(L143)</f>
        <v>2310115.5</v>
      </c>
      <c r="M142" s="38">
        <f>SUM(M143)</f>
        <v>0</v>
      </c>
      <c r="N142" s="38">
        <f>SUM(N143)</f>
        <v>2310000</v>
      </c>
      <c r="O142" s="38">
        <f>SUM(O143)</f>
        <v>115.5</v>
      </c>
    </row>
    <row r="143" s="5" customFormat="1" ht="28.9" customHeight="1" spans="1:15">
      <c r="A143" s="99">
        <v>1</v>
      </c>
      <c r="B143" s="96" t="s">
        <v>168</v>
      </c>
      <c r="C143" s="98" t="s">
        <v>189</v>
      </c>
      <c r="D143" s="100"/>
      <c r="E143" s="101"/>
      <c r="F143" s="102"/>
      <c r="G143" s="45">
        <v>75000000</v>
      </c>
      <c r="H143" s="45"/>
      <c r="I143" s="45"/>
      <c r="J143" s="45"/>
      <c r="K143" s="45"/>
      <c r="L143" s="45">
        <f>SUM(M143:O143)</f>
        <v>2310115.5</v>
      </c>
      <c r="M143" s="45"/>
      <c r="N143" s="45">
        <f>G143*0.0308</f>
        <v>2310000</v>
      </c>
      <c r="O143" s="45">
        <f>(M143+N143)*0.00005</f>
        <v>115.5</v>
      </c>
    </row>
    <row r="144" s="6" customFormat="1" ht="28.9" customHeight="1" spans="1:15">
      <c r="A144" s="103" t="s">
        <v>190</v>
      </c>
      <c r="B144" s="104"/>
      <c r="C144" s="105"/>
      <c r="D144" s="58" t="s">
        <v>78</v>
      </c>
      <c r="E144" s="67" t="s">
        <v>36</v>
      </c>
      <c r="F144" s="59">
        <v>46324</v>
      </c>
      <c r="G144" s="38">
        <f>SUM(G145:G146)</f>
        <v>700000000</v>
      </c>
      <c r="H144" s="38">
        <v>2.99</v>
      </c>
      <c r="I144" s="38">
        <v>0.8</v>
      </c>
      <c r="J144" s="38">
        <v>0.048</v>
      </c>
      <c r="K144" s="38">
        <v>0.05</v>
      </c>
      <c r="L144" s="38">
        <f>SUM(L145:L146)</f>
        <v>20931046.5</v>
      </c>
      <c r="M144" s="38">
        <f>SUM(M145:M146)</f>
        <v>0</v>
      </c>
      <c r="N144" s="38">
        <f>SUM(N145:N146)</f>
        <v>20930000</v>
      </c>
      <c r="O144" s="38">
        <f>SUM(O145:O146)</f>
        <v>1046.5</v>
      </c>
    </row>
    <row r="145" s="6" customFormat="1" ht="28.9" customHeight="1" spans="1:15">
      <c r="A145" s="99">
        <v>1</v>
      </c>
      <c r="B145" s="96" t="s">
        <v>79</v>
      </c>
      <c r="C145" s="98" t="s">
        <v>191</v>
      </c>
      <c r="D145" s="58"/>
      <c r="E145" s="67"/>
      <c r="F145" s="59"/>
      <c r="G145" s="45">
        <v>169000000</v>
      </c>
      <c r="H145" s="45"/>
      <c r="I145" s="45"/>
      <c r="J145" s="45"/>
      <c r="K145" s="45"/>
      <c r="L145" s="45">
        <f>SUM(M145:O145)</f>
        <v>5053352.655</v>
      </c>
      <c r="M145" s="45"/>
      <c r="N145" s="45">
        <f>G145*0.0299</f>
        <v>5053100</v>
      </c>
      <c r="O145" s="45">
        <f>(M145+N145)*0.00005</f>
        <v>252.655</v>
      </c>
    </row>
    <row r="146" s="6" customFormat="1" ht="28.9" customHeight="1" spans="1:15">
      <c r="A146" s="99">
        <v>2</v>
      </c>
      <c r="B146" s="96" t="s">
        <v>79</v>
      </c>
      <c r="C146" s="98" t="s">
        <v>192</v>
      </c>
      <c r="D146" s="58"/>
      <c r="E146" s="67"/>
      <c r="F146" s="59"/>
      <c r="G146" s="45">
        <v>531000000</v>
      </c>
      <c r="H146" s="45"/>
      <c r="I146" s="45"/>
      <c r="J146" s="45"/>
      <c r="K146" s="45"/>
      <c r="L146" s="45">
        <f>SUM(M146:O146)</f>
        <v>15877693.845</v>
      </c>
      <c r="M146" s="45"/>
      <c r="N146" s="45">
        <f>G146*0.0299</f>
        <v>15876900</v>
      </c>
      <c r="O146" s="45">
        <f>(M146+N146)*0.00005</f>
        <v>793.845</v>
      </c>
    </row>
    <row r="147" s="6" customFormat="1" ht="28.9" customHeight="1" spans="1:15">
      <c r="A147" s="106"/>
      <c r="B147" s="107"/>
      <c r="C147" s="107"/>
      <c r="D147" s="108"/>
      <c r="E147" s="109"/>
      <c r="F147" s="110"/>
      <c r="G147" s="111"/>
      <c r="H147" s="112"/>
      <c r="I147" s="121"/>
      <c r="J147" s="121"/>
      <c r="K147" s="112"/>
      <c r="L147" s="122"/>
      <c r="M147" s="122"/>
      <c r="N147" s="122"/>
      <c r="O147" s="122"/>
    </row>
    <row r="149" s="5" customFormat="1" spans="1:15">
      <c r="A149" s="113"/>
      <c r="B149" s="114"/>
      <c r="C149" s="115"/>
      <c r="D149" s="116"/>
      <c r="E149" s="117"/>
      <c r="F149" s="118"/>
      <c r="G149" s="119"/>
      <c r="H149" s="120"/>
      <c r="I149" s="120"/>
      <c r="J149" s="120"/>
      <c r="K149" s="120"/>
      <c r="L149" s="123"/>
      <c r="M149" s="124"/>
      <c r="N149" s="124"/>
      <c r="O149" s="124"/>
    </row>
    <row r="150" s="5" customFormat="1" spans="1:15">
      <c r="A150" s="113"/>
      <c r="B150" s="114"/>
      <c r="C150" s="115"/>
      <c r="D150" s="116"/>
      <c r="E150" s="117"/>
      <c r="F150" s="118"/>
      <c r="G150" s="119"/>
      <c r="H150" s="120"/>
      <c r="I150" s="120"/>
      <c r="J150" s="120"/>
      <c r="K150" s="120"/>
      <c r="L150" s="123"/>
      <c r="M150" s="124"/>
      <c r="N150" s="124"/>
      <c r="O150" s="124"/>
    </row>
  </sheetData>
  <mergeCells count="45">
    <mergeCell ref="A1:O1"/>
    <mergeCell ref="A2:O2"/>
    <mergeCell ref="L3:O3"/>
    <mergeCell ref="A5:F5"/>
    <mergeCell ref="A6:F6"/>
    <mergeCell ref="B7:C7"/>
    <mergeCell ref="B15:C15"/>
    <mergeCell ref="B29:C29"/>
    <mergeCell ref="B33:C33"/>
    <mergeCell ref="B39:C39"/>
    <mergeCell ref="B43:C43"/>
    <mergeCell ref="B47:C47"/>
    <mergeCell ref="B52:C52"/>
    <mergeCell ref="B61:C61"/>
    <mergeCell ref="B84:C84"/>
    <mergeCell ref="B87:C87"/>
    <mergeCell ref="B92:C92"/>
    <mergeCell ref="B98:C98"/>
    <mergeCell ref="B102:C102"/>
    <mergeCell ref="A111:C111"/>
    <mergeCell ref="A115:C115"/>
    <mergeCell ref="A118:C118"/>
    <mergeCell ref="A123:F123"/>
    <mergeCell ref="A124:C124"/>
    <mergeCell ref="A126:C126"/>
    <mergeCell ref="A128:C128"/>
    <mergeCell ref="A130:C130"/>
    <mergeCell ref="A132:C132"/>
    <mergeCell ref="A134:C134"/>
    <mergeCell ref="A136:C136"/>
    <mergeCell ref="A138:C138"/>
    <mergeCell ref="A140:C140"/>
    <mergeCell ref="A142:C142"/>
    <mergeCell ref="A144:C144"/>
    <mergeCell ref="A3:A4"/>
    <mergeCell ref="B3:B4"/>
    <mergeCell ref="C3:C4"/>
    <mergeCell ref="D3:D4"/>
    <mergeCell ref="E3:E4"/>
    <mergeCell ref="F3:F4"/>
    <mergeCell ref="G3:G4"/>
    <mergeCell ref="H3:H4"/>
    <mergeCell ref="I3:I4"/>
    <mergeCell ref="J3:J4"/>
    <mergeCell ref="K3:K4"/>
  </mergeCells>
  <pageMargins left="0" right="0.709027777777778" top="0" bottom="0" header="0.309027777777778" footer="0.309027777777778"/>
  <pageSetup paperSize="8" scale="65" orientation="landscape"/>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sunxiao</dc:creator>
  <cp:lastModifiedBy>高赛</cp:lastModifiedBy>
  <dcterms:created xsi:type="dcterms:W3CDTF">2020-12-08T01:52:00Z</dcterms:created>
  <dcterms:modified xsi:type="dcterms:W3CDTF">2022-01-07T06:29:32Z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